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1 Annual Update\Filed Documents 5-24-21\"/>
    </mc:Choice>
  </mc:AlternateContent>
  <bookViews>
    <workbookView xWindow="15000" yWindow="20" windowWidth="13320" windowHeight="13170" activeTab="1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Summary!$C$1:$K$39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62913"/>
  <pivotCaches>
    <pivotCache cacheId="220" r:id="rId5"/>
  </pivotCaches>
</workbook>
</file>

<file path=xl/calcChain.xml><?xml version="1.0" encoding="utf-8"?>
<calcChain xmlns="http://schemas.openxmlformats.org/spreadsheetml/2006/main">
  <c r="F10" i="29" l="1"/>
  <c r="C5" i="29"/>
  <c r="E20" i="29" l="1"/>
  <c r="D20" i="29"/>
  <c r="L3" i="18" l="1"/>
  <c r="H211" i="18"/>
  <c r="H29" i="18" l="1"/>
  <c r="H76" i="18"/>
  <c r="H132" i="18"/>
  <c r="H36" i="18"/>
  <c r="H84" i="18"/>
  <c r="H140" i="18"/>
  <c r="H45" i="18"/>
  <c r="H108" i="18"/>
  <c r="H164" i="18"/>
  <c r="H20" i="18"/>
  <c r="H52" i="18"/>
  <c r="H109" i="18"/>
  <c r="H172" i="18"/>
  <c r="H21" i="18"/>
  <c r="H37" i="18"/>
  <c r="H60" i="18"/>
  <c r="H92" i="18"/>
  <c r="H116" i="18"/>
  <c r="H148" i="18"/>
  <c r="H180" i="18"/>
  <c r="H28" i="18"/>
  <c r="H44" i="18"/>
  <c r="H68" i="18"/>
  <c r="H100" i="18"/>
  <c r="H124" i="18"/>
  <c r="H156" i="18"/>
  <c r="H196" i="18"/>
  <c r="H157" i="18"/>
  <c r="H184" i="18"/>
  <c r="H200" i="18"/>
  <c r="H24" i="18"/>
  <c r="H32" i="18"/>
  <c r="H40" i="18"/>
  <c r="H48" i="18"/>
  <c r="H56" i="18"/>
  <c r="H64" i="18"/>
  <c r="H72" i="18"/>
  <c r="H80" i="18"/>
  <c r="H88" i="18"/>
  <c r="H96" i="18"/>
  <c r="H104" i="18"/>
  <c r="H112" i="18"/>
  <c r="H120" i="18"/>
  <c r="H128" i="18"/>
  <c r="H136" i="18"/>
  <c r="H144" i="18"/>
  <c r="H152" i="18"/>
  <c r="H160" i="18"/>
  <c r="H168" i="18"/>
  <c r="H176" i="18"/>
  <c r="H188" i="18"/>
  <c r="H204" i="18"/>
  <c r="H53" i="18"/>
  <c r="H61" i="18"/>
  <c r="H69" i="18"/>
  <c r="H77" i="18"/>
  <c r="H85" i="18"/>
  <c r="H93" i="18"/>
  <c r="H101" i="18"/>
  <c r="H117" i="18"/>
  <c r="H125" i="18"/>
  <c r="H133" i="18"/>
  <c r="H141" i="18"/>
  <c r="H149" i="18"/>
  <c r="H165" i="18"/>
  <c r="H173" i="18"/>
  <c r="H25" i="18"/>
  <c r="H33" i="18"/>
  <c r="H41" i="18"/>
  <c r="H49" i="18"/>
  <c r="H57" i="18"/>
  <c r="H65" i="18"/>
  <c r="H73" i="18"/>
  <c r="H81" i="18"/>
  <c r="H89" i="18"/>
  <c r="H97" i="18"/>
  <c r="H105" i="18"/>
  <c r="H113" i="18"/>
  <c r="H121" i="18"/>
  <c r="H129" i="18"/>
  <c r="H137" i="18"/>
  <c r="H145" i="18"/>
  <c r="H153" i="18"/>
  <c r="H161" i="18"/>
  <c r="H169" i="18"/>
  <c r="H177" i="18"/>
  <c r="H192" i="18"/>
  <c r="H208" i="18"/>
  <c r="H22" i="18"/>
  <c r="H26" i="18"/>
  <c r="H30" i="18"/>
  <c r="H34" i="18"/>
  <c r="H38" i="18"/>
  <c r="H42" i="18"/>
  <c r="H46" i="18"/>
  <c r="H50" i="18"/>
  <c r="H54" i="18"/>
  <c r="H58" i="18"/>
  <c r="H62" i="18"/>
  <c r="H66" i="18"/>
  <c r="H70" i="18"/>
  <c r="H74" i="18"/>
  <c r="H78" i="18"/>
  <c r="H82" i="18"/>
  <c r="H86" i="18"/>
  <c r="H90" i="18"/>
  <c r="H94" i="18"/>
  <c r="H98" i="18"/>
  <c r="H102" i="18"/>
  <c r="H106" i="18"/>
  <c r="H110" i="18"/>
  <c r="H114" i="18"/>
  <c r="H118" i="18"/>
  <c r="H122" i="18"/>
  <c r="H126" i="18"/>
  <c r="H130" i="18"/>
  <c r="H134" i="18"/>
  <c r="H138" i="18"/>
  <c r="H142" i="18"/>
  <c r="H146" i="18"/>
  <c r="H150" i="18"/>
  <c r="H154" i="18"/>
  <c r="H158" i="18"/>
  <c r="H162" i="18"/>
  <c r="H166" i="18"/>
  <c r="H170" i="18"/>
  <c r="H174" i="18"/>
  <c r="H178" i="18"/>
  <c r="H182" i="18"/>
  <c r="H186" i="18"/>
  <c r="H190" i="18"/>
  <c r="H194" i="18"/>
  <c r="H198" i="18"/>
  <c r="H202" i="18"/>
  <c r="H206" i="18"/>
  <c r="H210" i="18"/>
  <c r="H181" i="18"/>
  <c r="H185" i="18"/>
  <c r="H189" i="18"/>
  <c r="H193" i="18"/>
  <c r="H197" i="18"/>
  <c r="H201" i="18"/>
  <c r="H205" i="18"/>
  <c r="H209" i="18"/>
  <c r="H23" i="18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J38" i="29" l="1"/>
  <c r="E11" i="29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C53" i="18"/>
  <c r="D63" i="18"/>
  <c r="D87" i="18" s="1"/>
  <c r="D99" i="18" s="1"/>
  <c r="D111" i="18" s="1"/>
  <c r="D123" i="18" s="1"/>
  <c r="D135" i="18" s="1"/>
  <c r="D147" i="18" s="1"/>
  <c r="D159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D46" i="18"/>
  <c r="C54" i="18"/>
  <c r="C49" i="18"/>
  <c r="C61" i="18"/>
  <c r="C85" i="18" s="1"/>
  <c r="C97" i="18" s="1"/>
  <c r="C109" i="18" s="1"/>
  <c r="C121" i="18" s="1"/>
  <c r="C133" i="18" s="1"/>
  <c r="C145" i="18" s="1"/>
  <c r="C157" i="18" s="1"/>
  <c r="C181" i="18" s="1"/>
  <c r="C193" i="18" s="1"/>
  <c r="C205" i="18" s="1"/>
  <c r="D53" i="18"/>
  <c r="C64" i="18"/>
  <c r="C76" i="18" s="1"/>
  <c r="D55" i="18"/>
  <c r="C51" i="18"/>
  <c r="C63" i="18"/>
  <c r="C87" i="18" s="1"/>
  <c r="C99" i="18" s="1"/>
  <c r="C111" i="18" s="1"/>
  <c r="C123" i="18" s="1"/>
  <c r="C135" i="18" s="1"/>
  <c r="C147" i="18" s="1"/>
  <c r="C159" i="18" s="1"/>
  <c r="C44" i="18"/>
  <c r="C56" i="18"/>
  <c r="C80" i="18" s="1"/>
  <c r="C92" i="18" s="1"/>
  <c r="C104" i="18" s="1"/>
  <c r="C116" i="18" s="1"/>
  <c r="C128" i="18" s="1"/>
  <c r="C140" i="18" s="1"/>
  <c r="C152" i="18" s="1"/>
  <c r="D66" i="18"/>
  <c r="D78" i="18" s="1"/>
  <c r="C3" i="29"/>
  <c r="C73" i="18"/>
  <c r="D50" i="18"/>
  <c r="C57" i="18"/>
  <c r="C81" i="18" s="1"/>
  <c r="C93" i="18" s="1"/>
  <c r="C105" i="18" s="1"/>
  <c r="C117" i="18" s="1"/>
  <c r="C129" i="18" s="1"/>
  <c r="C141" i="18" s="1"/>
  <c r="C153" i="18" s="1"/>
  <c r="C88" i="18"/>
  <c r="C100" i="18" s="1"/>
  <c r="C112" i="18" s="1"/>
  <c r="C124" i="18" s="1"/>
  <c r="C136" i="18" s="1"/>
  <c r="C148" i="18" s="1"/>
  <c r="C160" i="18" s="1"/>
  <c r="C75" i="18"/>
  <c r="E24" i="29"/>
  <c r="E36" i="29"/>
  <c r="E29" i="29"/>
  <c r="G35" i="29"/>
  <c r="E32" i="29"/>
  <c r="G22" i="29"/>
  <c r="G26" i="29"/>
  <c r="G30" i="29"/>
  <c r="H33" i="29"/>
  <c r="D23" i="29"/>
  <c r="D31" i="29"/>
  <c r="G36" i="29"/>
  <c r="E25" i="29"/>
  <c r="E37" i="29"/>
  <c r="G23" i="29"/>
  <c r="G31" i="29"/>
  <c r="H32" i="29"/>
  <c r="E35" i="29"/>
  <c r="G32" i="29"/>
  <c r="H26" i="29"/>
  <c r="E33" i="29"/>
  <c r="D27" i="29"/>
  <c r="D33" i="29"/>
  <c r="D28" i="29"/>
  <c r="H31" i="29"/>
  <c r="H23" i="29"/>
  <c r="D29" i="29"/>
  <c r="D37" i="29"/>
  <c r="H22" i="29"/>
  <c r="E22" i="29"/>
  <c r="E31" i="29"/>
  <c r="G27" i="29"/>
  <c r="G25" i="29"/>
  <c r="H29" i="29"/>
  <c r="H25" i="29"/>
  <c r="D35" i="29"/>
  <c r="H24" i="29"/>
  <c r="G28" i="29"/>
  <c r="G37" i="29"/>
  <c r="D26" i="29"/>
  <c r="D21" i="29"/>
  <c r="H35" i="29"/>
  <c r="H28" i="29"/>
  <c r="D22" i="29"/>
  <c r="D25" i="29"/>
  <c r="E26" i="29"/>
  <c r="H21" i="29"/>
  <c r="H37" i="29"/>
  <c r="G24" i="29"/>
  <c r="H27" i="29"/>
  <c r="E21" i="29"/>
  <c r="G29" i="29"/>
  <c r="G33" i="29"/>
  <c r="H30" i="29"/>
  <c r="E30" i="29"/>
  <c r="D30" i="29"/>
  <c r="H36" i="29"/>
  <c r="E28" i="29"/>
  <c r="D36" i="29"/>
  <c r="D24" i="29"/>
  <c r="G21" i="29"/>
  <c r="E23" i="29"/>
  <c r="D32" i="29"/>
  <c r="E27" i="29"/>
  <c r="C78" i="18" l="1"/>
  <c r="C90" i="18"/>
  <c r="C102" i="18" s="1"/>
  <c r="C114" i="18" s="1"/>
  <c r="C126" i="18" s="1"/>
  <c r="C138" i="18" s="1"/>
  <c r="C150" i="18" s="1"/>
  <c r="C162" i="18" s="1"/>
  <c r="C174" i="18" s="1"/>
  <c r="D57" i="18"/>
  <c r="D81" i="18" s="1"/>
  <c r="D93" i="18" s="1"/>
  <c r="D105" i="18" s="1"/>
  <c r="D117" i="18" s="1"/>
  <c r="D129" i="18" s="1"/>
  <c r="D141" i="18" s="1"/>
  <c r="D153" i="18" s="1"/>
  <c r="C72" i="18"/>
  <c r="D79" i="18"/>
  <c r="C68" i="18"/>
  <c r="E10" i="29"/>
  <c r="O13" i="18"/>
  <c r="E13" i="29"/>
  <c r="J34" i="29"/>
  <c r="J39" i="29" s="1"/>
  <c r="C67" i="18"/>
  <c r="C79" i="18" s="1"/>
  <c r="D90" i="18"/>
  <c r="D102" i="18" s="1"/>
  <c r="D114" i="18" s="1"/>
  <c r="D126" i="18" s="1"/>
  <c r="D138" i="18" s="1"/>
  <c r="D150" i="18" s="1"/>
  <c r="D162" i="18" s="1"/>
  <c r="D174" i="18" s="1"/>
  <c r="D77" i="18"/>
  <c r="D89" i="18"/>
  <c r="D101" i="18" s="1"/>
  <c r="D113" i="18" s="1"/>
  <c r="D125" i="18" s="1"/>
  <c r="D137" i="18" s="1"/>
  <c r="D149" i="18" s="1"/>
  <c r="D161" i="18" s="1"/>
  <c r="D173" i="18" s="1"/>
  <c r="D74" i="18"/>
  <c r="D86" i="18"/>
  <c r="D98" i="18" s="1"/>
  <c r="D110" i="18" s="1"/>
  <c r="D122" i="18" s="1"/>
  <c r="D134" i="18" s="1"/>
  <c r="D146" i="18" s="1"/>
  <c r="D158" i="18" s="1"/>
  <c r="C62" i="18"/>
  <c r="D49" i="18"/>
  <c r="D60" i="18"/>
  <c r="D72" i="18" s="1"/>
  <c r="C48" i="18"/>
  <c r="D71" i="18"/>
  <c r="C58" i="18"/>
  <c r="C69" i="18"/>
  <c r="D56" i="18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C165" i="18"/>
  <c r="C177" i="18"/>
  <c r="C189" i="18" s="1"/>
  <c r="C201" i="18" s="1"/>
  <c r="D183" i="18"/>
  <c r="D195" i="18" s="1"/>
  <c r="D207" i="18" s="1"/>
  <c r="D171" i="18"/>
  <c r="C164" i="18"/>
  <c r="C176" i="18"/>
  <c r="C188" i="18" s="1"/>
  <c r="C200" i="18" s="1"/>
  <c r="C186" i="18"/>
  <c r="C198" i="18" s="1"/>
  <c r="C210" i="18" s="1"/>
  <c r="C180" i="18"/>
  <c r="C192" i="18" s="1"/>
  <c r="C204" i="18" s="1"/>
  <c r="C168" i="18"/>
  <c r="D170" i="18"/>
  <c r="D182" i="18"/>
  <c r="D194" i="18" s="1"/>
  <c r="D206" i="18" s="1"/>
  <c r="C172" i="18"/>
  <c r="C184" i="18"/>
  <c r="C196" i="18" s="1"/>
  <c r="C208" i="18" s="1"/>
  <c r="D185" i="18"/>
  <c r="D197" i="18" s="1"/>
  <c r="D209" i="18" s="1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D68" i="18"/>
  <c r="D80" i="18"/>
  <c r="D92" i="18" s="1"/>
  <c r="D104" i="18" s="1"/>
  <c r="D116" i="18" s="1"/>
  <c r="D128" i="18" s="1"/>
  <c r="D140" i="18" s="1"/>
  <c r="D152" i="18" s="1"/>
  <c r="C47" i="18"/>
  <c r="C59" i="18"/>
  <c r="D186" i="18"/>
  <c r="D198" i="18" s="1"/>
  <c r="D210" i="18" s="1"/>
  <c r="C16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91" i="18"/>
  <c r="C103" i="18" s="1"/>
  <c r="C115" i="18" s="1"/>
  <c r="C127" i="18" s="1"/>
  <c r="C139" i="18" s="1"/>
  <c r="C151" i="18" s="1"/>
  <c r="C163" i="18" s="1"/>
  <c r="C89" i="18"/>
  <c r="C101" i="18" s="1"/>
  <c r="C113" i="18" s="1"/>
  <c r="C125" i="18" s="1"/>
  <c r="C137" i="18" s="1"/>
  <c r="C149" i="18" s="1"/>
  <c r="C161" i="18" s="1"/>
  <c r="C77" i="18"/>
  <c r="D69" i="18"/>
  <c r="D75" i="18"/>
  <c r="D64" i="18"/>
  <c r="D52" i="18"/>
  <c r="D84" i="18" l="1"/>
  <c r="D96" i="18" s="1"/>
  <c r="D108" i="18" s="1"/>
  <c r="D120" i="18" s="1"/>
  <c r="D132" i="18" s="1"/>
  <c r="D144" i="18" s="1"/>
  <c r="D156" i="18" s="1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I35" i="29"/>
  <c r="F38" i="29"/>
  <c r="D168" i="18"/>
  <c r="D180" i="18"/>
  <c r="D192" i="18" s="1"/>
  <c r="D204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D39" i="29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I21" i="29"/>
  <c r="H39" i="29"/>
  <c r="F39" i="29" l="1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l="1"/>
  <c r="F12" i="29" l="1"/>
  <c r="I112" i="18" l="1"/>
  <c r="I180" i="18"/>
  <c r="I20" i="18"/>
  <c r="I26" i="18"/>
  <c r="I109" i="18"/>
  <c r="I31" i="18"/>
  <c r="I63" i="18"/>
  <c r="I89" i="18"/>
  <c r="I120" i="18"/>
  <c r="I134" i="18"/>
  <c r="I139" i="18"/>
  <c r="I124" i="18"/>
  <c r="I158" i="18"/>
  <c r="I165" i="18"/>
  <c r="I196" i="18"/>
  <c r="I204" i="18"/>
  <c r="I54" i="18"/>
  <c r="I198" i="18"/>
  <c r="I193" i="18"/>
  <c r="I179" i="18"/>
  <c r="I178" i="18"/>
  <c r="I153" i="18"/>
  <c r="I34" i="18"/>
  <c r="I79" i="18"/>
  <c r="I100" i="18"/>
  <c r="I50" i="18"/>
  <c r="I184" i="18"/>
  <c r="I190" i="18"/>
  <c r="I208" i="18"/>
  <c r="I121" i="18"/>
  <c r="I152" i="18"/>
  <c r="I209" i="18"/>
  <c r="I87" i="18"/>
  <c r="I187" i="18"/>
  <c r="I42" i="18"/>
  <c r="I80" i="18"/>
  <c r="I119" i="18"/>
  <c r="I78" i="18"/>
  <c r="I53" i="18"/>
  <c r="I128" i="18"/>
  <c r="I170" i="18"/>
  <c r="I98" i="18"/>
  <c r="I86" i="18"/>
  <c r="I176" i="18"/>
  <c r="I182" i="18"/>
  <c r="I103" i="18"/>
  <c r="I123" i="18"/>
  <c r="I160" i="18"/>
  <c r="I43" i="18"/>
  <c r="I131" i="18"/>
  <c r="I96" i="18"/>
  <c r="I117" i="18"/>
  <c r="I38" i="18"/>
  <c r="I83" i="18"/>
  <c r="I191" i="18"/>
  <c r="I130" i="18"/>
  <c r="I140" i="18"/>
  <c r="I161" i="18"/>
  <c r="I125" i="18"/>
  <c r="I22" i="18"/>
  <c r="I210" i="18"/>
  <c r="I151" i="18"/>
  <c r="I102" i="18"/>
  <c r="I189" i="18"/>
  <c r="I94" i="18"/>
  <c r="I185" i="18"/>
  <c r="I92" i="18"/>
  <c r="I104" i="18"/>
  <c r="I166" i="18"/>
  <c r="I74" i="18"/>
  <c r="I172" i="18"/>
  <c r="I167" i="18"/>
  <c r="I47" i="18"/>
  <c r="I36" i="18"/>
  <c r="I201" i="18"/>
  <c r="I68" i="18"/>
  <c r="I181" i="18"/>
  <c r="I67" i="18"/>
  <c r="I27" i="18"/>
  <c r="I101" i="18"/>
  <c r="I173" i="18"/>
  <c r="I138" i="18"/>
  <c r="I48" i="18"/>
  <c r="I156" i="18"/>
  <c r="I81" i="18"/>
  <c r="I207" i="18"/>
  <c r="I21" i="18"/>
  <c r="I122" i="18"/>
  <c r="I73" i="18"/>
  <c r="I56" i="18"/>
  <c r="I203" i="18"/>
  <c r="I202" i="18"/>
  <c r="I188" i="18"/>
  <c r="I84" i="18"/>
  <c r="I28" i="18"/>
  <c r="I90" i="18"/>
  <c r="I77" i="18"/>
  <c r="I143" i="18"/>
  <c r="I37" i="18"/>
  <c r="I114" i="18"/>
  <c r="I25" i="18"/>
  <c r="I149" i="18"/>
  <c r="I163" i="18"/>
  <c r="I59" i="18"/>
  <c r="I66" i="18"/>
  <c r="I205" i="18"/>
  <c r="I115" i="18"/>
  <c r="I118" i="18"/>
  <c r="I146" i="18"/>
  <c r="I24" i="18"/>
  <c r="I142" i="18"/>
  <c r="I116" i="18"/>
  <c r="I175" i="18"/>
  <c r="I35" i="18"/>
  <c r="I64" i="18"/>
  <c r="I60" i="18"/>
  <c r="I65" i="18"/>
  <c r="I61" i="18"/>
  <c r="I107" i="18"/>
  <c r="I137" i="18"/>
  <c r="I95" i="18"/>
  <c r="I135" i="18"/>
  <c r="I132" i="18"/>
  <c r="I23" i="18"/>
  <c r="I46" i="18"/>
  <c r="I199" i="18"/>
  <c r="I136" i="18"/>
  <c r="I57" i="18"/>
  <c r="I45" i="18"/>
  <c r="I88" i="18"/>
  <c r="I133" i="18"/>
  <c r="I159" i="18"/>
  <c r="I144" i="18"/>
  <c r="I177" i="18"/>
  <c r="I164" i="18"/>
  <c r="I99" i="18"/>
  <c r="I82" i="18"/>
  <c r="I162" i="18"/>
  <c r="I145" i="18"/>
  <c r="I49" i="18"/>
  <c r="F14" i="29"/>
  <c r="I110" i="18"/>
  <c r="I93" i="18"/>
  <c r="I155" i="18"/>
  <c r="I171" i="18"/>
  <c r="I127" i="18"/>
  <c r="I150" i="18"/>
  <c r="I52" i="18"/>
  <c r="I58" i="18"/>
  <c r="I183" i="18"/>
  <c r="I51" i="18"/>
  <c r="I32" i="18"/>
  <c r="I154" i="18"/>
  <c r="I30" i="18"/>
  <c r="I157" i="18"/>
  <c r="I75" i="18"/>
  <c r="I174" i="18"/>
  <c r="I44" i="18"/>
  <c r="I108" i="18"/>
  <c r="I39" i="18"/>
  <c r="I76" i="18"/>
  <c r="I194" i="18"/>
  <c r="I113" i="18"/>
  <c r="I197" i="18"/>
  <c r="I141" i="18"/>
  <c r="I195" i="18"/>
  <c r="I111" i="18"/>
  <c r="I29" i="18"/>
  <c r="I55" i="18"/>
  <c r="I192" i="18"/>
  <c r="I168" i="18"/>
  <c r="I169" i="18"/>
  <c r="I211" i="18"/>
  <c r="I200" i="18"/>
  <c r="I106" i="18"/>
  <c r="I105" i="18"/>
  <c r="I41" i="18"/>
  <c r="I72" i="18"/>
  <c r="I71" i="18"/>
  <c r="I62" i="18"/>
  <c r="I129" i="18"/>
  <c r="I85" i="18"/>
  <c r="I147" i="18"/>
  <c r="I40" i="18"/>
  <c r="I148" i="18"/>
  <c r="I33" i="18"/>
  <c r="I206" i="18"/>
  <c r="I126" i="18"/>
  <c r="I69" i="18"/>
  <c r="I186" i="18"/>
  <c r="I91" i="18"/>
  <c r="I70" i="18"/>
  <c r="I97" i="18"/>
  <c r="K39" i="18" l="1"/>
  <c r="J39" i="18"/>
  <c r="K59" i="18"/>
  <c r="J59" i="18"/>
  <c r="K71" i="18"/>
  <c r="J71" i="18"/>
  <c r="K87" i="18"/>
  <c r="J87" i="18"/>
  <c r="L87" i="18" s="1"/>
  <c r="K103" i="18"/>
  <c r="J103" i="18"/>
  <c r="K115" i="18"/>
  <c r="J115" i="18"/>
  <c r="K132" i="18"/>
  <c r="J132" i="18"/>
  <c r="K147" i="18"/>
  <c r="J147" i="18"/>
  <c r="L147" i="18" s="1"/>
  <c r="K163" i="18"/>
  <c r="J163" i="18"/>
  <c r="K183" i="18"/>
  <c r="J183" i="18"/>
  <c r="K203" i="18"/>
  <c r="J203" i="18"/>
  <c r="K28" i="18"/>
  <c r="J28" i="18"/>
  <c r="L28" i="18" s="1"/>
  <c r="K56" i="18"/>
  <c r="J56" i="18"/>
  <c r="K76" i="18"/>
  <c r="J76" i="18"/>
  <c r="K88" i="18"/>
  <c r="J88" i="18"/>
  <c r="K100" i="18"/>
  <c r="J100" i="18"/>
  <c r="L100" i="18" s="1"/>
  <c r="M100" i="18"/>
  <c r="N100" i="18" s="1"/>
  <c r="R100" i="18" s="1"/>
  <c r="K104" i="18"/>
  <c r="J104" i="18"/>
  <c r="K108" i="18"/>
  <c r="J108" i="18"/>
  <c r="K112" i="18"/>
  <c r="J112" i="18"/>
  <c r="K116" i="18"/>
  <c r="J116" i="18"/>
  <c r="L116" i="18" s="1"/>
  <c r="K120" i="18"/>
  <c r="J120" i="18"/>
  <c r="K124" i="18"/>
  <c r="J124" i="18"/>
  <c r="K128" i="18"/>
  <c r="J128" i="18"/>
  <c r="K133" i="18"/>
  <c r="J133" i="18"/>
  <c r="L133" i="18" s="1"/>
  <c r="K137" i="18"/>
  <c r="J137" i="18"/>
  <c r="K140" i="18"/>
  <c r="J140" i="18"/>
  <c r="K144" i="18"/>
  <c r="J144" i="18"/>
  <c r="K148" i="18"/>
  <c r="J148" i="18"/>
  <c r="L148" i="18" s="1"/>
  <c r="K152" i="18"/>
  <c r="J152" i="18"/>
  <c r="K156" i="18"/>
  <c r="J156" i="18"/>
  <c r="K160" i="18"/>
  <c r="J160" i="18"/>
  <c r="K164" i="18"/>
  <c r="J164" i="18"/>
  <c r="L164" i="18" s="1"/>
  <c r="M164" i="18"/>
  <c r="K168" i="18"/>
  <c r="J168" i="18"/>
  <c r="K172" i="18"/>
  <c r="J172" i="18"/>
  <c r="K176" i="18"/>
  <c r="J176" i="18"/>
  <c r="K180" i="18"/>
  <c r="J180" i="18"/>
  <c r="K184" i="18"/>
  <c r="J184" i="18"/>
  <c r="K188" i="18"/>
  <c r="J188" i="18"/>
  <c r="K192" i="18"/>
  <c r="J192" i="18"/>
  <c r="L192" i="18" s="1"/>
  <c r="K196" i="18"/>
  <c r="J196" i="18"/>
  <c r="K200" i="18"/>
  <c r="J200" i="18"/>
  <c r="K204" i="18"/>
  <c r="J204" i="18"/>
  <c r="K208" i="18"/>
  <c r="J208" i="18"/>
  <c r="L208" i="18" s="1"/>
  <c r="K27" i="18"/>
  <c r="J27" i="18"/>
  <c r="M27" i="18"/>
  <c r="K35" i="18"/>
  <c r="J35" i="18"/>
  <c r="K47" i="18"/>
  <c r="J47" i="18"/>
  <c r="K55" i="18"/>
  <c r="J55" i="18"/>
  <c r="L55" i="18" s="1"/>
  <c r="K67" i="18"/>
  <c r="J67" i="18"/>
  <c r="M67" i="18"/>
  <c r="K79" i="18"/>
  <c r="J79" i="18"/>
  <c r="K91" i="18"/>
  <c r="J91" i="18"/>
  <c r="K99" i="18"/>
  <c r="J99" i="18"/>
  <c r="K111" i="18"/>
  <c r="J111" i="18"/>
  <c r="L111" i="18" s="1"/>
  <c r="K123" i="18"/>
  <c r="J123" i="18"/>
  <c r="K136" i="18"/>
  <c r="J136" i="18"/>
  <c r="K143" i="18"/>
  <c r="J143" i="18"/>
  <c r="K155" i="18"/>
  <c r="J155" i="18"/>
  <c r="L155" i="18" s="1"/>
  <c r="K171" i="18"/>
  <c r="J171" i="18"/>
  <c r="K179" i="18"/>
  <c r="J179" i="18"/>
  <c r="K187" i="18"/>
  <c r="J187" i="18"/>
  <c r="K199" i="18"/>
  <c r="J199" i="18"/>
  <c r="L199" i="18" s="1"/>
  <c r="M199" i="18"/>
  <c r="K207" i="18"/>
  <c r="J207" i="18"/>
  <c r="G212" i="18"/>
  <c r="M28" i="18" s="1"/>
  <c r="N28" i="18" s="1"/>
  <c r="R28" i="18" s="1"/>
  <c r="K20" i="18"/>
  <c r="J20" i="18"/>
  <c r="K32" i="18"/>
  <c r="J32" i="18"/>
  <c r="K40" i="18"/>
  <c r="J40" i="18"/>
  <c r="K48" i="18"/>
  <c r="J48" i="18"/>
  <c r="L48" i="18" s="1"/>
  <c r="M48" i="18"/>
  <c r="K60" i="18"/>
  <c r="J60" i="18"/>
  <c r="K68" i="18"/>
  <c r="J68" i="18"/>
  <c r="K80" i="18"/>
  <c r="J80" i="18"/>
  <c r="K96" i="18"/>
  <c r="J96" i="18"/>
  <c r="M96" i="18"/>
  <c r="K21" i="18"/>
  <c r="J21" i="18"/>
  <c r="K25" i="18"/>
  <c r="J25" i="18"/>
  <c r="K29" i="18"/>
  <c r="J29" i="18"/>
  <c r="L29" i="18" s="1"/>
  <c r="K33" i="18"/>
  <c r="J33" i="18"/>
  <c r="K37" i="18"/>
  <c r="J37" i="18"/>
  <c r="K41" i="18"/>
  <c r="J41" i="18"/>
  <c r="K45" i="18"/>
  <c r="J45" i="18"/>
  <c r="L45" i="18" s="1"/>
  <c r="K49" i="18"/>
  <c r="J49" i="18"/>
  <c r="M49" i="18"/>
  <c r="K53" i="18"/>
  <c r="J53" i="18"/>
  <c r="K57" i="18"/>
  <c r="J57" i="18"/>
  <c r="K61" i="18"/>
  <c r="J61" i="18"/>
  <c r="K65" i="18"/>
  <c r="J65" i="18"/>
  <c r="M65" i="18"/>
  <c r="K69" i="18"/>
  <c r="J69" i="18"/>
  <c r="K73" i="18"/>
  <c r="J73" i="18"/>
  <c r="K77" i="18"/>
  <c r="J77" i="18"/>
  <c r="K81" i="18"/>
  <c r="J81" i="18"/>
  <c r="L81" i="18" s="1"/>
  <c r="M81" i="18"/>
  <c r="K85" i="18"/>
  <c r="J85" i="18"/>
  <c r="K89" i="18"/>
  <c r="J89" i="18"/>
  <c r="K93" i="18"/>
  <c r="J93" i="18"/>
  <c r="K97" i="18"/>
  <c r="J97" i="18"/>
  <c r="K101" i="18"/>
  <c r="J101" i="18"/>
  <c r="K105" i="18"/>
  <c r="J105" i="18"/>
  <c r="K109" i="18"/>
  <c r="J109" i="18"/>
  <c r="K113" i="18"/>
  <c r="J113" i="18"/>
  <c r="M113" i="18"/>
  <c r="K117" i="18"/>
  <c r="J117" i="18"/>
  <c r="K121" i="18"/>
  <c r="J121" i="18"/>
  <c r="K125" i="18"/>
  <c r="J125" i="18"/>
  <c r="L125" i="18" s="1"/>
  <c r="K129" i="18"/>
  <c r="J129" i="18"/>
  <c r="M129" i="18"/>
  <c r="K134" i="18"/>
  <c r="J134" i="18"/>
  <c r="K138" i="18"/>
  <c r="J138" i="18"/>
  <c r="K141" i="18"/>
  <c r="J141" i="18"/>
  <c r="K145" i="18"/>
  <c r="J145" i="18"/>
  <c r="M145" i="18"/>
  <c r="K149" i="18"/>
  <c r="J149" i="18"/>
  <c r="K153" i="18"/>
  <c r="J153" i="18"/>
  <c r="K157" i="18"/>
  <c r="J157" i="18"/>
  <c r="K161" i="18"/>
  <c r="J161" i="18"/>
  <c r="L161" i="18" s="1"/>
  <c r="M161" i="18"/>
  <c r="K165" i="18"/>
  <c r="J165" i="18"/>
  <c r="K169" i="18"/>
  <c r="J169" i="18"/>
  <c r="K173" i="18"/>
  <c r="J173" i="18"/>
  <c r="K177" i="18"/>
  <c r="J177" i="18"/>
  <c r="M177" i="18"/>
  <c r="K181" i="18"/>
  <c r="J181" i="18"/>
  <c r="K185" i="18"/>
  <c r="J185" i="18"/>
  <c r="K189" i="18"/>
  <c r="J189" i="18"/>
  <c r="L189" i="18" s="1"/>
  <c r="K193" i="18"/>
  <c r="J193" i="18"/>
  <c r="M193" i="18"/>
  <c r="K197" i="18"/>
  <c r="J197" i="18"/>
  <c r="K201" i="18"/>
  <c r="J201" i="18"/>
  <c r="K205" i="18"/>
  <c r="J205" i="18"/>
  <c r="M205" i="18"/>
  <c r="K209" i="18"/>
  <c r="J209" i="18"/>
  <c r="M209" i="18"/>
  <c r="K23" i="18"/>
  <c r="J23" i="18"/>
  <c r="K31" i="18"/>
  <c r="J31" i="18"/>
  <c r="K43" i="18"/>
  <c r="J43" i="18"/>
  <c r="M43" i="18"/>
  <c r="K51" i="18"/>
  <c r="J51" i="18"/>
  <c r="M51" i="18"/>
  <c r="K63" i="18"/>
  <c r="J63" i="18"/>
  <c r="K75" i="18"/>
  <c r="J75" i="18"/>
  <c r="K83" i="18"/>
  <c r="J83" i="18"/>
  <c r="M83" i="18"/>
  <c r="K95" i="18"/>
  <c r="J95" i="18"/>
  <c r="M95" i="18"/>
  <c r="K107" i="18"/>
  <c r="J107" i="18"/>
  <c r="K119" i="18"/>
  <c r="J119" i="18"/>
  <c r="K127" i="18"/>
  <c r="J127" i="18"/>
  <c r="M127" i="18"/>
  <c r="K130" i="18"/>
  <c r="J130" i="18"/>
  <c r="M130" i="18"/>
  <c r="K151" i="18"/>
  <c r="J151" i="18"/>
  <c r="K159" i="18"/>
  <c r="J159" i="18"/>
  <c r="K167" i="18"/>
  <c r="J167" i="18"/>
  <c r="M167" i="18"/>
  <c r="K175" i="18"/>
  <c r="J175" i="18"/>
  <c r="L175" i="18" s="1"/>
  <c r="M175" i="18"/>
  <c r="K191" i="18"/>
  <c r="J191" i="18"/>
  <c r="K195" i="18"/>
  <c r="J195" i="18"/>
  <c r="K211" i="18"/>
  <c r="J211" i="18"/>
  <c r="M211" i="18"/>
  <c r="K24" i="18"/>
  <c r="J24" i="18"/>
  <c r="M24" i="18"/>
  <c r="K36" i="18"/>
  <c r="J36" i="18"/>
  <c r="K44" i="18"/>
  <c r="J44" i="18"/>
  <c r="K52" i="18"/>
  <c r="J52" i="18"/>
  <c r="M52" i="18"/>
  <c r="K64" i="18"/>
  <c r="J64" i="18"/>
  <c r="L64" i="18" s="1"/>
  <c r="M64" i="18"/>
  <c r="K72" i="18"/>
  <c r="J72" i="18"/>
  <c r="K84" i="18"/>
  <c r="J84" i="18"/>
  <c r="K92" i="18"/>
  <c r="J92" i="18"/>
  <c r="M92" i="18"/>
  <c r="K22" i="18"/>
  <c r="J22" i="18"/>
  <c r="M22" i="18"/>
  <c r="K26" i="18"/>
  <c r="J26" i="18"/>
  <c r="K30" i="18"/>
  <c r="J30" i="18"/>
  <c r="K34" i="18"/>
  <c r="J34" i="18"/>
  <c r="M34" i="18"/>
  <c r="K38" i="18"/>
  <c r="J38" i="18"/>
  <c r="L38" i="18" s="1"/>
  <c r="M38" i="18"/>
  <c r="K42" i="18"/>
  <c r="J42" i="18"/>
  <c r="K46" i="18"/>
  <c r="J46" i="18"/>
  <c r="K50" i="18"/>
  <c r="J50" i="18"/>
  <c r="M50" i="18"/>
  <c r="K54" i="18"/>
  <c r="J54" i="18"/>
  <c r="M54" i="18"/>
  <c r="K58" i="18"/>
  <c r="J58" i="18"/>
  <c r="K62" i="18"/>
  <c r="J62" i="18"/>
  <c r="K66" i="18"/>
  <c r="J66" i="18"/>
  <c r="M66" i="18"/>
  <c r="K70" i="18"/>
  <c r="J70" i="18"/>
  <c r="L70" i="18" s="1"/>
  <c r="M70" i="18"/>
  <c r="K74" i="18"/>
  <c r="J74" i="18"/>
  <c r="K78" i="18"/>
  <c r="J78" i="18"/>
  <c r="K82" i="18"/>
  <c r="J82" i="18"/>
  <c r="M82" i="18"/>
  <c r="K86" i="18"/>
  <c r="J86" i="18"/>
  <c r="M86" i="18"/>
  <c r="K90" i="18"/>
  <c r="J90" i="18"/>
  <c r="K94" i="18"/>
  <c r="J94" i="18"/>
  <c r="K98" i="18"/>
  <c r="J98" i="18"/>
  <c r="M98" i="18"/>
  <c r="K102" i="18"/>
  <c r="J102" i="18"/>
  <c r="L102" i="18" s="1"/>
  <c r="M102" i="18"/>
  <c r="K106" i="18"/>
  <c r="J106" i="18"/>
  <c r="K110" i="18"/>
  <c r="J110" i="18"/>
  <c r="K114" i="18"/>
  <c r="J114" i="18"/>
  <c r="M114" i="18"/>
  <c r="K118" i="18"/>
  <c r="J118" i="18"/>
  <c r="M118" i="18"/>
  <c r="K122" i="18"/>
  <c r="J122" i="18"/>
  <c r="K126" i="18"/>
  <c r="J126" i="18"/>
  <c r="K131" i="18"/>
  <c r="J131" i="18"/>
  <c r="M131" i="18"/>
  <c r="K135" i="18"/>
  <c r="J135" i="18"/>
  <c r="L135" i="18" s="1"/>
  <c r="M135" i="18"/>
  <c r="K139" i="18"/>
  <c r="J139" i="18"/>
  <c r="K142" i="18"/>
  <c r="J142" i="18"/>
  <c r="K146" i="18"/>
  <c r="J146" i="18"/>
  <c r="M146" i="18"/>
  <c r="K150" i="18"/>
  <c r="J150" i="18"/>
  <c r="M150" i="18"/>
  <c r="K154" i="18"/>
  <c r="J154" i="18"/>
  <c r="K158" i="18"/>
  <c r="J158" i="18"/>
  <c r="K162" i="18"/>
  <c r="J162" i="18"/>
  <c r="M162" i="18"/>
  <c r="K166" i="18"/>
  <c r="J166" i="18"/>
  <c r="L166" i="18" s="1"/>
  <c r="M166" i="18"/>
  <c r="K170" i="18"/>
  <c r="J170" i="18"/>
  <c r="K174" i="18"/>
  <c r="J174" i="18"/>
  <c r="K178" i="18"/>
  <c r="J178" i="18"/>
  <c r="M178" i="18"/>
  <c r="K182" i="18"/>
  <c r="J182" i="18"/>
  <c r="M182" i="18"/>
  <c r="K186" i="18"/>
  <c r="J186" i="18"/>
  <c r="K190" i="18"/>
  <c r="J190" i="18"/>
  <c r="M190" i="18"/>
  <c r="K194" i="18"/>
  <c r="J194" i="18"/>
  <c r="M194" i="18"/>
  <c r="K198" i="18"/>
  <c r="J198" i="18"/>
  <c r="M198" i="18"/>
  <c r="K202" i="18"/>
  <c r="J202" i="18"/>
  <c r="M202" i="18"/>
  <c r="K206" i="18"/>
  <c r="J206" i="18"/>
  <c r="M206" i="18"/>
  <c r="K210" i="18"/>
  <c r="J210" i="18"/>
  <c r="M210" i="18"/>
  <c r="L202" i="18" l="1"/>
  <c r="L95" i="18"/>
  <c r="L209" i="18"/>
  <c r="N166" i="18"/>
  <c r="R166" i="18" s="1"/>
  <c r="L162" i="18"/>
  <c r="N135" i="18"/>
  <c r="R135" i="18" s="1"/>
  <c r="L131" i="18"/>
  <c r="N131" i="18" s="1"/>
  <c r="R131" i="18" s="1"/>
  <c r="N102" i="18"/>
  <c r="R102" i="18" s="1"/>
  <c r="L98" i="18"/>
  <c r="N70" i="18"/>
  <c r="R70" i="18" s="1"/>
  <c r="L66" i="18"/>
  <c r="N66" i="18" s="1"/>
  <c r="R66" i="18" s="1"/>
  <c r="N38" i="18"/>
  <c r="R38" i="18" s="1"/>
  <c r="L34" i="18"/>
  <c r="N64" i="18"/>
  <c r="R64" i="18" s="1"/>
  <c r="L52" i="18"/>
  <c r="N175" i="18"/>
  <c r="R175" i="18" s="1"/>
  <c r="L167" i="18"/>
  <c r="N95" i="18"/>
  <c r="R95" i="18" s="1"/>
  <c r="L83" i="18"/>
  <c r="N209" i="18"/>
  <c r="R209" i="18" s="1"/>
  <c r="L205" i="18"/>
  <c r="L177" i="18"/>
  <c r="N161" i="18"/>
  <c r="R161" i="18" s="1"/>
  <c r="L141" i="18"/>
  <c r="L113" i="18"/>
  <c r="L97" i="18"/>
  <c r="N81" i="18"/>
  <c r="R81" i="18" s="1"/>
  <c r="L61" i="18"/>
  <c r="L96" i="18"/>
  <c r="N48" i="18"/>
  <c r="R48" i="18" s="1"/>
  <c r="N199" i="18"/>
  <c r="R199" i="18" s="1"/>
  <c r="N146" i="18"/>
  <c r="R146" i="18" s="1"/>
  <c r="L176" i="18"/>
  <c r="L168" i="18"/>
  <c r="L206" i="18"/>
  <c r="N206" i="18" s="1"/>
  <c r="R206" i="18" s="1"/>
  <c r="L190" i="18"/>
  <c r="N190" i="18" s="1"/>
  <c r="R190" i="18" s="1"/>
  <c r="L178" i="18"/>
  <c r="N178" i="18" s="1"/>
  <c r="R178" i="18" s="1"/>
  <c r="L158" i="18"/>
  <c r="L146" i="18"/>
  <c r="L126" i="18"/>
  <c r="L114" i="18"/>
  <c r="N114" i="18" s="1"/>
  <c r="R114" i="18" s="1"/>
  <c r="L94" i="18"/>
  <c r="L82" i="18"/>
  <c r="N82" i="18" s="1"/>
  <c r="R82" i="18" s="1"/>
  <c r="L62" i="18"/>
  <c r="L50" i="18"/>
  <c r="N50" i="18" s="1"/>
  <c r="R50" i="18" s="1"/>
  <c r="L30" i="18"/>
  <c r="L92" i="18"/>
  <c r="N92" i="18" s="1"/>
  <c r="R92" i="18" s="1"/>
  <c r="L44" i="18"/>
  <c r="L211" i="18"/>
  <c r="N211" i="18" s="1"/>
  <c r="R211" i="18" s="1"/>
  <c r="L159" i="18"/>
  <c r="L127" i="18"/>
  <c r="N127" i="18" s="1"/>
  <c r="R127" i="18" s="1"/>
  <c r="L75" i="18"/>
  <c r="L43" i="18"/>
  <c r="N43" i="18" s="1"/>
  <c r="R43" i="18" s="1"/>
  <c r="L201" i="18"/>
  <c r="L173" i="18"/>
  <c r="L145" i="18"/>
  <c r="N145" i="18" s="1"/>
  <c r="R145" i="18" s="1"/>
  <c r="L109" i="18"/>
  <c r="L93" i="18"/>
  <c r="L65" i="18"/>
  <c r="N65" i="18" s="1"/>
  <c r="R65" i="18" s="1"/>
  <c r="L80" i="18"/>
  <c r="L67" i="18"/>
  <c r="N67" i="18" s="1"/>
  <c r="R67" i="18" s="1"/>
  <c r="L160" i="18"/>
  <c r="L152" i="18"/>
  <c r="L144" i="18"/>
  <c r="L137" i="18"/>
  <c r="L128" i="18"/>
  <c r="L120" i="18"/>
  <c r="L112" i="18"/>
  <c r="L104" i="18"/>
  <c r="L182" i="18"/>
  <c r="N182" i="18" s="1"/>
  <c r="R182" i="18" s="1"/>
  <c r="L150" i="18"/>
  <c r="N150" i="18" s="1"/>
  <c r="R150" i="18" s="1"/>
  <c r="L118" i="18"/>
  <c r="N118" i="18" s="1"/>
  <c r="R118" i="18" s="1"/>
  <c r="N98" i="18"/>
  <c r="R98" i="18" s="1"/>
  <c r="L86" i="18"/>
  <c r="N86" i="18" s="1"/>
  <c r="R86" i="18" s="1"/>
  <c r="L54" i="18"/>
  <c r="N54" i="18" s="1"/>
  <c r="R54" i="18" s="1"/>
  <c r="N34" i="18"/>
  <c r="R34" i="18" s="1"/>
  <c r="L22" i="18"/>
  <c r="N22" i="18" s="1"/>
  <c r="R22" i="18" s="1"/>
  <c r="N52" i="18"/>
  <c r="R52" i="18" s="1"/>
  <c r="L24" i="18"/>
  <c r="N24" i="18" s="1"/>
  <c r="R24" i="18" s="1"/>
  <c r="N167" i="18"/>
  <c r="R167" i="18" s="1"/>
  <c r="L130" i="18"/>
  <c r="N130" i="18" s="1"/>
  <c r="R130" i="18" s="1"/>
  <c r="N83" i="18"/>
  <c r="R83" i="18" s="1"/>
  <c r="L51" i="18"/>
  <c r="N51" i="18" s="1"/>
  <c r="R51" i="18" s="1"/>
  <c r="N205" i="18"/>
  <c r="R205" i="18" s="1"/>
  <c r="L193" i="18"/>
  <c r="N193" i="18" s="1"/>
  <c r="R193" i="18" s="1"/>
  <c r="N177" i="18"/>
  <c r="R177" i="18" s="1"/>
  <c r="L157" i="18"/>
  <c r="L129" i="18"/>
  <c r="N129" i="18" s="1"/>
  <c r="R129" i="18" s="1"/>
  <c r="N113" i="18"/>
  <c r="R113" i="18" s="1"/>
  <c r="L77" i="18"/>
  <c r="L49" i="18"/>
  <c r="N49" i="18" s="1"/>
  <c r="R49" i="18" s="1"/>
  <c r="L33" i="18"/>
  <c r="N96" i="18"/>
  <c r="R96" i="18" s="1"/>
  <c r="L40" i="18"/>
  <c r="L187" i="18"/>
  <c r="L143" i="18"/>
  <c r="L99" i="18"/>
  <c r="L27" i="18"/>
  <c r="N27" i="18" s="1"/>
  <c r="R27" i="18" s="1"/>
  <c r="L196" i="18"/>
  <c r="L180" i="18"/>
  <c r="N164" i="18"/>
  <c r="R164" i="18" s="1"/>
  <c r="L88" i="18"/>
  <c r="L203" i="18"/>
  <c r="L163" i="18"/>
  <c r="L132" i="18"/>
  <c r="L103" i="18"/>
  <c r="L71" i="18"/>
  <c r="L39" i="18"/>
  <c r="M148" i="18"/>
  <c r="N148" i="18" s="1"/>
  <c r="R148" i="18" s="1"/>
  <c r="L210" i="18"/>
  <c r="N210" i="18" s="1"/>
  <c r="R210" i="18" s="1"/>
  <c r="L194" i="18"/>
  <c r="N194" i="18" s="1"/>
  <c r="R194" i="18" s="1"/>
  <c r="N162" i="18"/>
  <c r="R162" i="18" s="1"/>
  <c r="M71" i="18"/>
  <c r="M132" i="18"/>
  <c r="M203" i="18"/>
  <c r="M88" i="18"/>
  <c r="M112" i="18"/>
  <c r="M128" i="18"/>
  <c r="N128" i="18" s="1"/>
  <c r="R128" i="18" s="1"/>
  <c r="M144" i="18"/>
  <c r="M160" i="18"/>
  <c r="M176" i="18"/>
  <c r="N176" i="18" s="1"/>
  <c r="R176" i="18" s="1"/>
  <c r="M192" i="18"/>
  <c r="N192" i="18" s="1"/>
  <c r="R192" i="18" s="1"/>
  <c r="M208" i="18"/>
  <c r="N208" i="18" s="1"/>
  <c r="R208" i="18" s="1"/>
  <c r="M55" i="18"/>
  <c r="N55" i="18" s="1"/>
  <c r="R55" i="18" s="1"/>
  <c r="M99" i="18"/>
  <c r="M143" i="18"/>
  <c r="M187" i="18"/>
  <c r="M40" i="18"/>
  <c r="M80" i="18"/>
  <c r="M29" i="18"/>
  <c r="N29" i="18" s="1"/>
  <c r="R29" i="18" s="1"/>
  <c r="M45" i="18"/>
  <c r="N45" i="18" s="1"/>
  <c r="R45" i="18" s="1"/>
  <c r="M61" i="18"/>
  <c r="M77" i="18"/>
  <c r="M93" i="18"/>
  <c r="N93" i="18" s="1"/>
  <c r="R93" i="18" s="1"/>
  <c r="M109" i="18"/>
  <c r="M125" i="18"/>
  <c r="N125" i="18" s="1"/>
  <c r="R125" i="18" s="1"/>
  <c r="M141" i="18"/>
  <c r="M157" i="18"/>
  <c r="M173" i="18"/>
  <c r="N173" i="18" s="1"/>
  <c r="R173" i="18" s="1"/>
  <c r="M189" i="18"/>
  <c r="N189" i="18" s="1"/>
  <c r="R189" i="18" s="1"/>
  <c r="M59" i="18"/>
  <c r="M115" i="18"/>
  <c r="M183" i="18"/>
  <c r="M76" i="18"/>
  <c r="M108" i="18"/>
  <c r="M124" i="18"/>
  <c r="M140" i="18"/>
  <c r="M156" i="18"/>
  <c r="M172" i="18"/>
  <c r="M188" i="18"/>
  <c r="M204" i="18"/>
  <c r="M47" i="18"/>
  <c r="M91" i="18"/>
  <c r="M136" i="18"/>
  <c r="M179" i="18"/>
  <c r="M32" i="18"/>
  <c r="M68" i="18"/>
  <c r="M25" i="18"/>
  <c r="M41" i="18"/>
  <c r="M57" i="18"/>
  <c r="M73" i="18"/>
  <c r="M89" i="18"/>
  <c r="M105" i="18"/>
  <c r="M121" i="18"/>
  <c r="M138" i="18"/>
  <c r="M153" i="18"/>
  <c r="M169" i="18"/>
  <c r="M185" i="18"/>
  <c r="M201" i="18"/>
  <c r="M31" i="18"/>
  <c r="M75" i="18"/>
  <c r="M119" i="18"/>
  <c r="M159" i="18"/>
  <c r="M195" i="18"/>
  <c r="M44" i="18"/>
  <c r="M84" i="18"/>
  <c r="M30" i="18"/>
  <c r="M46" i="18"/>
  <c r="M62" i="18"/>
  <c r="M78" i="18"/>
  <c r="M94" i="18"/>
  <c r="M110" i="18"/>
  <c r="M126" i="18"/>
  <c r="M142" i="18"/>
  <c r="M158" i="18"/>
  <c r="M174" i="18"/>
  <c r="M39" i="18"/>
  <c r="M103" i="18"/>
  <c r="M163" i="18"/>
  <c r="M56" i="18"/>
  <c r="M104" i="18"/>
  <c r="M120" i="18"/>
  <c r="N120" i="18" s="1"/>
  <c r="R120" i="18" s="1"/>
  <c r="M137" i="18"/>
  <c r="N137" i="18" s="1"/>
  <c r="R137" i="18" s="1"/>
  <c r="M152" i="18"/>
  <c r="N152" i="18" s="1"/>
  <c r="R152" i="18" s="1"/>
  <c r="M168" i="18"/>
  <c r="M184" i="18"/>
  <c r="M200" i="18"/>
  <c r="M35" i="18"/>
  <c r="M79" i="18"/>
  <c r="M123" i="18"/>
  <c r="M171" i="18"/>
  <c r="M207" i="18"/>
  <c r="M20" i="18"/>
  <c r="M60" i="18"/>
  <c r="M21" i="18"/>
  <c r="M37" i="18"/>
  <c r="M53" i="18"/>
  <c r="M69" i="18"/>
  <c r="M85" i="18"/>
  <c r="M101" i="18"/>
  <c r="M117" i="18"/>
  <c r="M134" i="18"/>
  <c r="M149" i="18"/>
  <c r="M165" i="18"/>
  <c r="M181" i="18"/>
  <c r="M197" i="18"/>
  <c r="M23" i="18"/>
  <c r="M63" i="18"/>
  <c r="M107" i="18"/>
  <c r="M151" i="18"/>
  <c r="M191" i="18"/>
  <c r="M36" i="18"/>
  <c r="M72" i="18"/>
  <c r="M26" i="18"/>
  <c r="M42" i="18"/>
  <c r="M58" i="18"/>
  <c r="M74" i="18"/>
  <c r="M90" i="18"/>
  <c r="M106" i="18"/>
  <c r="M122" i="18"/>
  <c r="M139" i="18"/>
  <c r="M154" i="18"/>
  <c r="M170" i="18"/>
  <c r="M186" i="18"/>
  <c r="M155" i="18"/>
  <c r="N155" i="18" s="1"/>
  <c r="R155" i="18" s="1"/>
  <c r="M196" i="18"/>
  <c r="N196" i="18" s="1"/>
  <c r="R196" i="18" s="1"/>
  <c r="M133" i="18"/>
  <c r="N133" i="18" s="1"/>
  <c r="R133" i="18" s="1"/>
  <c r="M147" i="18"/>
  <c r="N147" i="18" s="1"/>
  <c r="R147" i="18" s="1"/>
  <c r="N202" i="18"/>
  <c r="R202" i="18" s="1"/>
  <c r="L198" i="18"/>
  <c r="N198" i="18" s="1"/>
  <c r="R198" i="18" s="1"/>
  <c r="L174" i="18"/>
  <c r="L142" i="18"/>
  <c r="L110" i="18"/>
  <c r="L78" i="18"/>
  <c r="L46" i="18"/>
  <c r="L84" i="18"/>
  <c r="L195" i="18"/>
  <c r="L119" i="18"/>
  <c r="L31" i="18"/>
  <c r="M97" i="18"/>
  <c r="N97" i="18" s="1"/>
  <c r="R97" i="18" s="1"/>
  <c r="M33" i="18"/>
  <c r="M111" i="18"/>
  <c r="N111" i="18" s="1"/>
  <c r="R111" i="18" s="1"/>
  <c r="M180" i="18"/>
  <c r="M116" i="18"/>
  <c r="N116" i="18" s="1"/>
  <c r="R116" i="18" s="1"/>
  <c r="M87" i="18"/>
  <c r="N87" i="18" s="1"/>
  <c r="R87" i="18" s="1"/>
  <c r="L186" i="18"/>
  <c r="L170" i="18"/>
  <c r="L154" i="18"/>
  <c r="L139" i="18"/>
  <c r="L122" i="18"/>
  <c r="L106" i="18"/>
  <c r="L90" i="18"/>
  <c r="L74" i="18"/>
  <c r="L58" i="18"/>
  <c r="L42" i="18"/>
  <c r="L26" i="18"/>
  <c r="L72" i="18"/>
  <c r="L36" i="18"/>
  <c r="L191" i="18"/>
  <c r="L151" i="18"/>
  <c r="L107" i="18"/>
  <c r="L63" i="18"/>
  <c r="L23" i="18"/>
  <c r="L197" i="18"/>
  <c r="L181" i="18"/>
  <c r="L165" i="18"/>
  <c r="L149" i="18"/>
  <c r="L134" i="18"/>
  <c r="L117" i="18"/>
  <c r="L101" i="18"/>
  <c r="L85" i="18"/>
  <c r="L69" i="18"/>
  <c r="L53" i="18"/>
  <c r="L37" i="18"/>
  <c r="L21" i="18"/>
  <c r="L60" i="18"/>
  <c r="J212" i="18"/>
  <c r="J14" i="18"/>
  <c r="L20" i="18"/>
  <c r="L207" i="18"/>
  <c r="L171" i="18"/>
  <c r="L123" i="18"/>
  <c r="L79" i="18"/>
  <c r="L35" i="18"/>
  <c r="L200" i="18"/>
  <c r="L184" i="18"/>
  <c r="J13" i="18"/>
  <c r="L56" i="18"/>
  <c r="L185" i="18"/>
  <c r="L169" i="18"/>
  <c r="L153" i="18"/>
  <c r="L138" i="18"/>
  <c r="L121" i="18"/>
  <c r="L105" i="18"/>
  <c r="L89" i="18"/>
  <c r="L73" i="18"/>
  <c r="L57" i="18"/>
  <c r="L41" i="18"/>
  <c r="L25" i="18"/>
  <c r="L68" i="18"/>
  <c r="L32" i="18"/>
  <c r="K14" i="18"/>
  <c r="K212" i="18"/>
  <c r="L179" i="18"/>
  <c r="L136" i="18"/>
  <c r="L91" i="18"/>
  <c r="L47" i="18"/>
  <c r="L204" i="18"/>
  <c r="L188" i="18"/>
  <c r="L172" i="18"/>
  <c r="L156" i="18"/>
  <c r="L140" i="18"/>
  <c r="L124" i="18"/>
  <c r="L108" i="18"/>
  <c r="L76" i="18"/>
  <c r="K13" i="18"/>
  <c r="L183" i="18"/>
  <c r="L115" i="18"/>
  <c r="L59" i="18"/>
  <c r="N61" i="18" l="1"/>
  <c r="R61" i="18" s="1"/>
  <c r="N33" i="18"/>
  <c r="R33" i="18" s="1"/>
  <c r="N39" i="18"/>
  <c r="R39" i="18" s="1"/>
  <c r="N126" i="18"/>
  <c r="R126" i="18" s="1"/>
  <c r="N62" i="18"/>
  <c r="R62" i="18" s="1"/>
  <c r="N44" i="18"/>
  <c r="R44" i="18" s="1"/>
  <c r="N75" i="18"/>
  <c r="R75" i="18" s="1"/>
  <c r="N187" i="18"/>
  <c r="R187" i="18" s="1"/>
  <c r="N144" i="18"/>
  <c r="R144" i="18" s="1"/>
  <c r="N203" i="18"/>
  <c r="R203" i="18" s="1"/>
  <c r="N157" i="18"/>
  <c r="R157" i="18" s="1"/>
  <c r="N143" i="18"/>
  <c r="R143" i="18" s="1"/>
  <c r="N141" i="18"/>
  <c r="R141" i="18" s="1"/>
  <c r="N80" i="18"/>
  <c r="R80" i="18" s="1"/>
  <c r="N112" i="18"/>
  <c r="R112" i="18" s="1"/>
  <c r="N71" i="18"/>
  <c r="R71" i="18" s="1"/>
  <c r="N158" i="18"/>
  <c r="R158" i="18" s="1"/>
  <c r="N94" i="18"/>
  <c r="R94" i="18" s="1"/>
  <c r="N30" i="18"/>
  <c r="R30" i="18" s="1"/>
  <c r="N159" i="18"/>
  <c r="R159" i="18" s="1"/>
  <c r="N201" i="18"/>
  <c r="R201" i="18" s="1"/>
  <c r="N103" i="18"/>
  <c r="R103" i="18" s="1"/>
  <c r="N40" i="18"/>
  <c r="R40" i="18" s="1"/>
  <c r="N160" i="18"/>
  <c r="R160" i="18" s="1"/>
  <c r="N88" i="18"/>
  <c r="R88" i="18" s="1"/>
  <c r="N77" i="18"/>
  <c r="R77" i="18" s="1"/>
  <c r="N79" i="18"/>
  <c r="R79" i="18" s="1"/>
  <c r="N168" i="18"/>
  <c r="R168" i="18" s="1"/>
  <c r="N104" i="18"/>
  <c r="R104" i="18" s="1"/>
  <c r="N109" i="18"/>
  <c r="R109" i="18" s="1"/>
  <c r="N180" i="18"/>
  <c r="R180" i="18" s="1"/>
  <c r="N163" i="18"/>
  <c r="R163" i="18" s="1"/>
  <c r="N99" i="18"/>
  <c r="R99" i="18" s="1"/>
  <c r="N132" i="18"/>
  <c r="R132" i="18" s="1"/>
  <c r="N154" i="18"/>
  <c r="R154" i="18" s="1"/>
  <c r="N90" i="18"/>
  <c r="R90" i="18" s="1"/>
  <c r="N26" i="18"/>
  <c r="R26" i="18" s="1"/>
  <c r="N151" i="18"/>
  <c r="R151" i="18" s="1"/>
  <c r="N197" i="18"/>
  <c r="R197" i="18" s="1"/>
  <c r="N134" i="18"/>
  <c r="R134" i="18" s="1"/>
  <c r="N69" i="18"/>
  <c r="R69" i="18" s="1"/>
  <c r="N60" i="18"/>
  <c r="R60" i="18" s="1"/>
  <c r="N142" i="18"/>
  <c r="R142" i="18" s="1"/>
  <c r="N84" i="18"/>
  <c r="R84" i="18" s="1"/>
  <c r="N185" i="18"/>
  <c r="R185" i="18" s="1"/>
  <c r="N121" i="18"/>
  <c r="R121" i="18" s="1"/>
  <c r="N57" i="18"/>
  <c r="R57" i="18" s="1"/>
  <c r="N32" i="18"/>
  <c r="R32" i="18" s="1"/>
  <c r="N47" i="18"/>
  <c r="R47" i="18" s="1"/>
  <c r="N156" i="18"/>
  <c r="R156" i="18" s="1"/>
  <c r="N76" i="18"/>
  <c r="R76" i="18" s="1"/>
  <c r="N139" i="18"/>
  <c r="R139" i="18" s="1"/>
  <c r="N74" i="18"/>
  <c r="R74" i="18" s="1"/>
  <c r="N72" i="18"/>
  <c r="R72" i="18" s="1"/>
  <c r="N107" i="18"/>
  <c r="R107" i="18" s="1"/>
  <c r="N181" i="18"/>
  <c r="R181" i="18" s="1"/>
  <c r="N117" i="18"/>
  <c r="R117" i="18" s="1"/>
  <c r="N53" i="18"/>
  <c r="R53" i="18" s="1"/>
  <c r="M212" i="18"/>
  <c r="N169" i="18"/>
  <c r="R169" i="18" s="1"/>
  <c r="N105" i="18"/>
  <c r="R105" i="18" s="1"/>
  <c r="N41" i="18"/>
  <c r="R41" i="18" s="1"/>
  <c r="N179" i="18"/>
  <c r="R179" i="18" s="1"/>
  <c r="N204" i="18"/>
  <c r="R204" i="18" s="1"/>
  <c r="N140" i="18"/>
  <c r="R140" i="18" s="1"/>
  <c r="N183" i="18"/>
  <c r="R183" i="18" s="1"/>
  <c r="N184" i="18"/>
  <c r="R184" i="18" s="1"/>
  <c r="L13" i="18"/>
  <c r="N56" i="18"/>
  <c r="N186" i="18"/>
  <c r="R186" i="18" s="1"/>
  <c r="N122" i="18"/>
  <c r="R122" i="18" s="1"/>
  <c r="N58" i="18"/>
  <c r="R58" i="18" s="1"/>
  <c r="N36" i="18"/>
  <c r="R36" i="18" s="1"/>
  <c r="N63" i="18"/>
  <c r="R63" i="18" s="1"/>
  <c r="N165" i="18"/>
  <c r="R165" i="18" s="1"/>
  <c r="N101" i="18"/>
  <c r="R101" i="18" s="1"/>
  <c r="N37" i="18"/>
  <c r="R37" i="18" s="1"/>
  <c r="N207" i="18"/>
  <c r="R207" i="18" s="1"/>
  <c r="N35" i="18"/>
  <c r="R35" i="18" s="1"/>
  <c r="M13" i="18"/>
  <c r="N174" i="18"/>
  <c r="R174" i="18" s="1"/>
  <c r="N110" i="18"/>
  <c r="R110" i="18" s="1"/>
  <c r="N46" i="18"/>
  <c r="R46" i="18" s="1"/>
  <c r="N195" i="18"/>
  <c r="R195" i="18" s="1"/>
  <c r="N31" i="18"/>
  <c r="R31" i="18" s="1"/>
  <c r="N153" i="18"/>
  <c r="R153" i="18" s="1"/>
  <c r="N89" i="18"/>
  <c r="R89" i="18" s="1"/>
  <c r="N25" i="18"/>
  <c r="R25" i="18" s="1"/>
  <c r="N136" i="18"/>
  <c r="R136" i="18" s="1"/>
  <c r="N188" i="18"/>
  <c r="R188" i="18" s="1"/>
  <c r="N124" i="18"/>
  <c r="R124" i="18" s="1"/>
  <c r="N115" i="18"/>
  <c r="R115" i="18" s="1"/>
  <c r="N123" i="18"/>
  <c r="R123" i="18" s="1"/>
  <c r="N78" i="18"/>
  <c r="R78" i="18" s="1"/>
  <c r="N119" i="18"/>
  <c r="R119" i="18" s="1"/>
  <c r="L212" i="18"/>
  <c r="L14" i="18"/>
  <c r="N20" i="18"/>
  <c r="N170" i="18"/>
  <c r="R170" i="18" s="1"/>
  <c r="N106" i="18"/>
  <c r="R106" i="18" s="1"/>
  <c r="N42" i="18"/>
  <c r="R42" i="18" s="1"/>
  <c r="N191" i="18"/>
  <c r="R191" i="18" s="1"/>
  <c r="N23" i="18"/>
  <c r="R23" i="18" s="1"/>
  <c r="N149" i="18"/>
  <c r="R149" i="18" s="1"/>
  <c r="N85" i="18"/>
  <c r="R85" i="18" s="1"/>
  <c r="N21" i="18"/>
  <c r="R21" i="18" s="1"/>
  <c r="N171" i="18"/>
  <c r="R171" i="18" s="1"/>
  <c r="N200" i="18"/>
  <c r="R200" i="18" s="1"/>
  <c r="N138" i="18"/>
  <c r="R138" i="18" s="1"/>
  <c r="N73" i="18"/>
  <c r="R73" i="18" s="1"/>
  <c r="N68" i="18"/>
  <c r="R68" i="18" s="1"/>
  <c r="N91" i="18"/>
  <c r="R91" i="18" s="1"/>
  <c r="N172" i="18"/>
  <c r="R172" i="18" s="1"/>
  <c r="N108" i="18"/>
  <c r="R108" i="18" s="1"/>
  <c r="N59" i="18"/>
  <c r="R59" i="18" s="1"/>
  <c r="N14" i="18" l="1"/>
  <c r="R20" i="18"/>
  <c r="N13" i="18"/>
  <c r="R56" i="18"/>
  <c r="R13" i="18" s="1"/>
  <c r="R212" i="18" l="1"/>
  <c r="R14" i="18"/>
</calcChain>
</file>

<file path=xl/comments1.xml><?xml version="1.0" encoding="utf-8"?>
<comments xmlns="http://schemas.openxmlformats.org/spreadsheetml/2006/main">
  <authors>
    <author>rlp</author>
  </authors>
  <commentList>
    <comment ref="J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<sst xmlns="http://schemas.openxmlformats.org/spreadsheetml/2006/main" count="421" uniqueCount="105">
  <si>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</si>
  <si>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</si>
  <si>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</si>
  <si>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</si>
  <si>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</si>
  <si>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</si>
  <si>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</si>
  <si>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</si>
  <si>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</si>
  <si>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</si>
  <si>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</si>
  <si>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</si>
  <si>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</si>
  <si>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</si>
  <si>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</si>
  <si>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</si>
  <si>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</si>
  <si>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</si>
  <si>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</si>
  <si>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</si>
  <si>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</si>
  <si>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</si>
  <si>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</si>
  <si>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</si>
  <si>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</si>
  <si>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</si>
  <si>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</si>
  <si>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</si>
  <si>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</si>
  <si>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</si>
  <si>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</si>
  <si>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</si>
  <si>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</si>
  <si>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</si>
  <si>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</si>
  <si>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</si>
  <si>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</si>
  <si>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</si>
  <si>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</si>
  <si>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</si>
  <si>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</si>
  <si>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</si>
  <si>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</si>
  <si>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</si>
  <si>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</si>
  <si>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</si>
  <si>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</si>
  <si>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</si>
  <si>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</si>
  <si>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</si>
  <si>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</si>
  <si>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</si>
  <si>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</si>
  <si>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</si>
  <si>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</si>
  <si>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</si>
  <si>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</si>
  <si>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</si>
  <si>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</si>
  <si>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</si>
  <si>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</si>
  <si>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</si>
  <si>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</si>
  <si>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</si>
  <si>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</si>
  <si>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</si>
  <si>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</si>
  <si>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</si>
  <si>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</si>
  <si>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</si>
  <si>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</si>
  <si>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</si>
  <si>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</si>
  <si>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</si>
  <si>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</si>
  <si>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</si>
  <si>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</si>
  <si>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</si>
  <si>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</si>
  <si>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</si>
  <si>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</si>
  <si>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</si>
  <si>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</si>
  <si>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</si>
  <si>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</si>
  <si>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</si>
  <si>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</si>
  <si>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</si>
  <si>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</si>
  <si>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</si>
  <si>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</si>
  <si>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</si>
  <si>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</si>
  <si>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</si>
  <si>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</si>
  <si>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</si>
  <si>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</si>
  <si>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2017 ROE Refund</t>
  </si>
  <si>
    <t>AEPTCo Formula Rate -- FERC Docket ER18-195</t>
  </si>
  <si>
    <t>2019 Tax True Up</t>
  </si>
  <si>
    <t>2020 True Up Including Interest</t>
  </si>
  <si>
    <r>
      <t>2020 True-Up
(</t>
    </r>
    <r>
      <rPr>
        <sz val="10"/>
        <rFont val="Arial"/>
        <family val="2"/>
      </rPr>
      <t>w/o Interest)</t>
    </r>
  </si>
  <si>
    <t>2020 Interest</t>
  </si>
  <si>
    <t>Total 2020
True-Up Surcharge / (Refund)</t>
  </si>
  <si>
    <t>Total NITS Surcharge /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</si>
</sst>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quotePrefix="1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left" vertical="center"/>
    </xf>
    <xf numFmtId="0" fontId="4" fillId="0" borderId="23" xfId="0" quotePrefix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0" fontId="0" fillId="0" borderId="49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5" xfId="0" applyNumberFormat="1" applyFont="1" applyFill="1" applyBorder="1" applyAlignment="1" applyProtection="1">
      <alignment horizontal="center"/>
    </xf>
    <xf numFmtId="166" fontId="25" fillId="0" borderId="43" xfId="0" applyNumberFormat="1" applyFont="1" applyBorder="1" applyProtection="1"/>
    <xf numFmtId="166" fontId="25" fillId="0" borderId="0" xfId="0" applyNumberFormat="1" applyFont="1" applyProtection="1"/>
    <xf numFmtId="166" fontId="25" fillId="0" borderId="44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41" xfId="0" applyNumberFormat="1" applyFont="1" applyBorder="1" applyProtection="1"/>
    <xf numFmtId="166" fontId="25" fillId="0" borderId="42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177040" refreshedDate="44340.709556250004" createdVersion="6" refreshedVersion="6" recordCount="192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0-12-02T00:00:00" count="132"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0-02-05T00:00:00" maxDate="2021-01-07T00:00:00"/>
    </cacheField>
    <cacheField name="Payment Received*" numFmtId="14">
      <sharedItems containsSemiMixedTypes="0" containsNonDate="0" containsDate="1" containsString="0" minDate="2020-02-24T00:00:00" maxDate="2021-01-26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3873"/>
    </cacheField>
    <cacheField name="Projected Rate (as Invoiced)" numFmtId="164">
      <sharedItems containsSemiMixedTypes="0" containsString="0" containsNumber="1" minValue="1093.1099999999999" maxValue="1093.1099999999999"/>
    </cacheField>
    <cacheField name="Actual True-Up Rate" numFmtId="164">
      <sharedItems containsSemiMixedTypes="0" containsString="0" containsNumber="1" minValue="1176.9000000000001" maxValue="1176.9000000000001"/>
    </cacheField>
    <cacheField name="True-Up Charge" numFmtId="164">
      <sharedItems containsSemiMixedTypes="0" containsString="0" containsNumber="1" minValue="1176.9000000000001" maxValue="4558133.7"/>
    </cacheField>
    <cacheField name="Invoiced*** Charge (proj.)" numFmtId="164">
      <sharedItems containsSemiMixedTypes="0" containsString="0" containsNumber="1" minValue="1093.1099999999999" maxValue="4233615.0299999993"/>
    </cacheField>
    <cacheField name="True-Up w/o Interest" numFmtId="164">
      <sharedItems containsSemiMixedTypes="0" containsString="0" containsNumber="1" minValue="83.790000000000191" maxValue="324518.67000000086"/>
    </cacheField>
    <cacheField name="Interest" numFmtId="164">
      <sharedItems containsSemiMixedTypes="0" containsString="0" containsNumber="1" minValue="2.8221546543510878" maxValue="10930.204976301764"/>
    </cacheField>
    <cacheField name="2020 True Up Including Interest" numFmtId="164">
      <sharedItems containsSemiMixedTypes="0" containsString="0" containsNumber="1" minValue="86.612154654351272" maxValue="335448.87497630261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86.612154654351272" maxValue="335448.874976302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d v="2020-02-05T00:00:00"/>
    <d v="2020-02-24T00:00:00"/>
    <x v="0"/>
    <n v="9"/>
    <n v="2580"/>
    <n v="1093.1099999999999"/>
    <n v="1176.9000000000001"/>
    <n v="3036402.0000000005"/>
    <n v="2820223.8"/>
    <n v="216178.20000000065"/>
    <n v="7281.1590082258072"/>
    <n v="223459.35900822646"/>
    <n v="0"/>
    <n v="0"/>
    <n v="0"/>
    <n v="223459.35900822646"/>
  </r>
  <r>
    <x v="1"/>
    <d v="2020-03-04T00:00:00"/>
    <d v="2020-03-24T00:00:00"/>
    <x v="0"/>
    <n v="9"/>
    <n v="2548"/>
    <n v="1093.1099999999999"/>
    <n v="1176.9000000000001"/>
    <n v="2998741.2"/>
    <n v="2785244.28"/>
    <n v="213496.92000000039"/>
    <n v="7190.8500592865721"/>
    <n v="220687.77005928697"/>
    <n v="0"/>
    <n v="0"/>
    <n v="0"/>
    <n v="220687.77005928697"/>
  </r>
  <r>
    <x v="2"/>
    <d v="2020-04-03T00:00:00"/>
    <d v="2020-04-24T00:00:00"/>
    <x v="0"/>
    <n v="9"/>
    <n v="2505"/>
    <n v="1093.1099999999999"/>
    <n v="1176.9000000000001"/>
    <n v="2948134.5"/>
    <n v="2738240.55"/>
    <n v="209893.95000000019"/>
    <n v="7069.497409149476"/>
    <n v="216963.44740914967"/>
    <n v="0"/>
    <n v="0"/>
    <n v="0"/>
    <n v="216963.44740914967"/>
  </r>
  <r>
    <x v="3"/>
    <d v="2020-05-05T00:00:00"/>
    <d v="2020-05-25T00:00:00"/>
    <x v="0"/>
    <n v="9"/>
    <n v="2636"/>
    <n v="1093.1099999999999"/>
    <n v="1176.9000000000001"/>
    <n v="3102308.4000000004"/>
    <n v="2881437.96"/>
    <n v="220870.44000000041"/>
    <n v="7439.199668869469"/>
    <n v="228309.63966886987"/>
    <n v="0"/>
    <n v="0"/>
    <n v="0"/>
    <n v="228309.63966886987"/>
  </r>
  <r>
    <x v="4"/>
    <d v="2020-06-03T00:00:00"/>
    <d v="2020-06-24T00:00:00"/>
    <x v="0"/>
    <n v="9"/>
    <n v="2911"/>
    <n v="1093.1099999999999"/>
    <n v="1176.9000000000001"/>
    <n v="3425955.9000000004"/>
    <n v="3182043.2099999995"/>
    <n v="243912.69000000088"/>
    <n v="8215.2921988160178"/>
    <n v="252127.9821988169"/>
    <n v="0"/>
    <n v="0"/>
    <n v="0"/>
    <n v="252127.9821988169"/>
  </r>
  <r>
    <x v="5"/>
    <d v="2020-07-03T00:00:00"/>
    <d v="2020-07-24T00:00:00"/>
    <x v="0"/>
    <n v="9"/>
    <n v="3504"/>
    <n v="1093.1099999999999"/>
    <n v="1176.9000000000001"/>
    <n v="4123857.6"/>
    <n v="3830257.4399999995"/>
    <n v="293600.16000000061"/>
    <n v="9888.8299088462118"/>
    <n v="303488.98990884685"/>
    <n v="0"/>
    <n v="0"/>
    <n v="0"/>
    <n v="303488.98990884685"/>
  </r>
  <r>
    <x v="6"/>
    <d v="2020-08-05T00:00:00"/>
    <d v="2020-08-24T00:00:00"/>
    <x v="0"/>
    <n v="9"/>
    <n v="3724"/>
    <n v="1093.1099999999999"/>
    <n v="1176.9000000000001"/>
    <n v="4382775.6000000006"/>
    <n v="4070741.6399999997"/>
    <n v="312033.96000000089"/>
    <n v="10509.703932803452"/>
    <n v="322543.66393280437"/>
    <n v="0"/>
    <n v="0"/>
    <n v="0"/>
    <n v="322543.66393280437"/>
  </r>
  <r>
    <x v="7"/>
    <d v="2020-09-03T00:00:00"/>
    <d v="2020-09-24T00:00:00"/>
    <x v="0"/>
    <n v="9"/>
    <n v="3873"/>
    <n v="1093.1099999999999"/>
    <n v="1176.9000000000001"/>
    <n v="4558133.7"/>
    <n v="4233615.0299999993"/>
    <n v="324518.67000000086"/>
    <n v="10930.204976301764"/>
    <n v="335448.87497630261"/>
    <n v="0"/>
    <n v="0"/>
    <n v="0"/>
    <n v="335448.87497630261"/>
  </r>
  <r>
    <x v="8"/>
    <d v="2020-10-05T00:00:00"/>
    <d v="2020-10-26T00:00:00"/>
    <x v="0"/>
    <n v="9"/>
    <n v="3349"/>
    <n v="1093.1099999999999"/>
    <n v="1176.9000000000001"/>
    <n v="3941438.1"/>
    <n v="3660825.3899999997"/>
    <n v="280612.71000000043"/>
    <n v="9451.3959374217939"/>
    <n v="290064.10593742219"/>
    <n v="0"/>
    <n v="0"/>
    <n v="0"/>
    <n v="290064.10593742219"/>
  </r>
  <r>
    <x v="9"/>
    <d v="2020-11-04T00:00:00"/>
    <d v="2020-11-24T00:00:00"/>
    <x v="0"/>
    <n v="9"/>
    <n v="2789"/>
    <n v="1093.1099999999999"/>
    <n v="1176.9000000000001"/>
    <n v="3282374.1"/>
    <n v="3048683.7899999996"/>
    <n v="233690.31000000052"/>
    <n v="7870.989330985185"/>
    <n v="241561.2993309857"/>
    <n v="0"/>
    <n v="0"/>
    <n v="0"/>
    <n v="241561.2993309857"/>
  </r>
  <r>
    <x v="10"/>
    <d v="2020-12-03T00:00:00"/>
    <d v="2020-12-24T00:00:00"/>
    <x v="0"/>
    <n v="9"/>
    <n v="2382"/>
    <n v="1093.1099999999999"/>
    <n v="1176.9000000000001"/>
    <n v="2803375.8000000003"/>
    <n v="2603788.0199999996"/>
    <n v="199587.78000000073"/>
    <n v="6722.3723866642913"/>
    <n v="206310.15238666502"/>
    <n v="0"/>
    <n v="0"/>
    <n v="0"/>
    <n v="206310.15238666502"/>
  </r>
  <r>
    <x v="11"/>
    <d v="2021-01-06T00:00:00"/>
    <d v="2021-01-25T00:00:00"/>
    <x v="0"/>
    <n v="9"/>
    <n v="2513"/>
    <n v="1093.1099999999999"/>
    <n v="1176.9000000000001"/>
    <n v="2957549.7"/>
    <n v="2746985.4299999997"/>
    <n v="210564.27000000048"/>
    <n v="7092.0746463842843"/>
    <n v="217656.34464638476"/>
    <n v="0"/>
    <n v="0"/>
    <n v="0"/>
    <n v="217656.34464638476"/>
  </r>
  <r>
    <x v="0"/>
    <d v="2020-02-05T00:00:00"/>
    <d v="2020-02-24T00:00:00"/>
    <x v="1"/>
    <n v="9"/>
    <n v="2664"/>
    <n v="1093.1099999999999"/>
    <n v="1176.9000000000001"/>
    <n v="3135261.6"/>
    <n v="2912045.0399999996"/>
    <n v="223216.56000000052"/>
    <n v="7518.2199991912994"/>
    <n v="230734.77999919181"/>
    <n v="0"/>
    <n v="0"/>
    <n v="0"/>
    <n v="230734.77999919181"/>
  </r>
  <r>
    <x v="1"/>
    <d v="2020-03-04T00:00:00"/>
    <d v="2020-03-24T00:00:00"/>
    <x v="1"/>
    <n v="9"/>
    <n v="2798"/>
    <n v="1093.1099999999999"/>
    <n v="1176.9000000000001"/>
    <n v="3292966.2"/>
    <n v="3058521.78"/>
    <n v="234444.42000000039"/>
    <n v="7896.3887228743442"/>
    <n v="242340.80872287473"/>
    <n v="0"/>
    <n v="0"/>
    <n v="0"/>
    <n v="242340.80872287473"/>
  </r>
  <r>
    <x v="2"/>
    <d v="2020-04-03T00:00:00"/>
    <d v="2020-04-24T00:00:00"/>
    <x v="1"/>
    <n v="9"/>
    <n v="2422"/>
    <n v="1093.1099999999999"/>
    <n v="1176.9000000000001"/>
    <n v="2850451.8000000003"/>
    <n v="2647512.42"/>
    <n v="202939.38000000035"/>
    <n v="6835.2585728383356"/>
    <n v="209774.63857283868"/>
    <n v="0"/>
    <n v="0"/>
    <n v="0"/>
    <n v="209774.63857283868"/>
  </r>
  <r>
    <x v="3"/>
    <d v="2020-05-05T00:00:00"/>
    <d v="2020-05-25T00:00:00"/>
    <x v="1"/>
    <n v="9"/>
    <n v="2569"/>
    <n v="1093.1099999999999"/>
    <n v="1176.9000000000001"/>
    <n v="3023456.1"/>
    <n v="2808199.59"/>
    <n v="215256.51000000024"/>
    <n v="7250.1153070279452"/>
    <n v="222506.62530702818"/>
    <n v="0"/>
    <n v="0"/>
    <n v="0"/>
    <n v="222506.62530702818"/>
  </r>
  <r>
    <x v="4"/>
    <d v="2020-06-03T00:00:00"/>
    <d v="2020-06-24T00:00:00"/>
    <x v="1"/>
    <n v="9"/>
    <n v="2598"/>
    <n v="1093.1099999999999"/>
    <n v="1176.9000000000001"/>
    <n v="3057586.2"/>
    <n v="2839899.78"/>
    <n v="217686.42000000039"/>
    <n v="7331.9577920041265"/>
    <n v="225018.37779200452"/>
    <n v="0"/>
    <n v="0"/>
    <n v="0"/>
    <n v="225018.37779200452"/>
  </r>
  <r>
    <x v="5"/>
    <d v="2020-07-03T00:00:00"/>
    <d v="2020-07-24T00:00:00"/>
    <x v="1"/>
    <n v="9"/>
    <n v="3167"/>
    <n v="1093.1099999999999"/>
    <n v="1176.9000000000001"/>
    <n v="3727242.3000000003"/>
    <n v="3461879.3699999996"/>
    <n v="265362.93000000063"/>
    <n v="8937.7637903298964"/>
    <n v="274300.69379033055"/>
    <n v="0"/>
    <n v="0"/>
    <n v="0"/>
    <n v="274300.69379033055"/>
  </r>
  <r>
    <x v="6"/>
    <d v="2020-08-05T00:00:00"/>
    <d v="2020-08-24T00:00:00"/>
    <x v="1"/>
    <n v="9"/>
    <n v="3376"/>
    <n v="1093.1099999999999"/>
    <n v="1176.9000000000001"/>
    <n v="3973214.4000000004"/>
    <n v="3690339.36"/>
    <n v="282875.0400000005"/>
    <n v="9527.5941130892734"/>
    <n v="292402.63411308976"/>
    <n v="0"/>
    <n v="0"/>
    <n v="0"/>
    <n v="292402.63411308976"/>
  </r>
  <r>
    <x v="7"/>
    <d v="2020-09-03T00:00:00"/>
    <d v="2020-09-24T00:00:00"/>
    <x v="1"/>
    <n v="9"/>
    <n v="3459"/>
    <n v="1093.1099999999999"/>
    <n v="1176.9000000000001"/>
    <n v="4070897.1"/>
    <n v="3781067.4899999998"/>
    <n v="289829.61000000034"/>
    <n v="9761.8329494004138"/>
    <n v="299591.44294940075"/>
    <n v="0"/>
    <n v="0"/>
    <n v="0"/>
    <n v="299591.44294940075"/>
  </r>
  <r>
    <x v="8"/>
    <d v="2020-10-05T00:00:00"/>
    <d v="2020-10-26T00:00:00"/>
    <x v="1"/>
    <n v="9"/>
    <n v="3173"/>
    <n v="1093.1099999999999"/>
    <n v="1176.9000000000001"/>
    <n v="3734303.7"/>
    <n v="3468438.03"/>
    <n v="265865.67000000039"/>
    <n v="8954.696718256002"/>
    <n v="274820.36671825638"/>
    <n v="0"/>
    <n v="0"/>
    <n v="0"/>
    <n v="274820.36671825638"/>
  </r>
  <r>
    <x v="9"/>
    <d v="2020-11-04T00:00:00"/>
    <d v="2020-11-24T00:00:00"/>
    <x v="1"/>
    <n v="9"/>
    <n v="2561"/>
    <n v="1093.1099999999999"/>
    <n v="1176.9000000000001"/>
    <n v="3014040.9000000004"/>
    <n v="2799454.71"/>
    <n v="214586.19000000041"/>
    <n v="7227.5380697931369"/>
    <n v="221813.72806979355"/>
    <n v="0"/>
    <n v="0"/>
    <n v="0"/>
    <n v="221813.72806979355"/>
  </r>
  <r>
    <x v="10"/>
    <d v="2020-12-03T00:00:00"/>
    <d v="2020-12-24T00:00:00"/>
    <x v="1"/>
    <n v="9"/>
    <n v="2357"/>
    <n v="1093.1099999999999"/>
    <n v="1176.9000000000001"/>
    <n v="2773953.3000000003"/>
    <n v="2576460.2699999996"/>
    <n v="197493.03000000073"/>
    <n v="6651.8185203055154"/>
    <n v="204144.84852030623"/>
    <n v="0"/>
    <n v="0"/>
    <n v="0"/>
    <n v="204144.84852030623"/>
  </r>
  <r>
    <x v="11"/>
    <d v="2021-01-06T00:00:00"/>
    <d v="2021-01-25T00:00:00"/>
    <x v="1"/>
    <n v="9"/>
    <n v="2731"/>
    <n v="1093.1099999999999"/>
    <n v="1176.9000000000001"/>
    <n v="3214113.9000000004"/>
    <n v="2985283.4099999997"/>
    <n v="228830.49000000069"/>
    <n v="7707.3043610328214"/>
    <n v="236537.79436103351"/>
    <n v="0"/>
    <n v="0"/>
    <n v="0"/>
    <n v="236537.79436103351"/>
  </r>
  <r>
    <x v="0"/>
    <d v="2020-02-05T00:00:00"/>
    <d v="2020-02-24T00:00:00"/>
    <x v="2"/>
    <n v="9"/>
    <n v="145"/>
    <n v="1093.1099999999999"/>
    <n v="1176.9000000000001"/>
    <n v="170650.5"/>
    <n v="158500.94999999998"/>
    <n v="12149.550000000017"/>
    <n v="409.21242488090775"/>
    <n v="12558.762424880926"/>
    <n v="0"/>
    <n v="0"/>
    <n v="0"/>
    <n v="12558.762424880926"/>
  </r>
  <r>
    <x v="1"/>
    <d v="2020-03-04T00:00:00"/>
    <d v="2020-03-24T00:00:00"/>
    <x v="2"/>
    <n v="9"/>
    <n v="146"/>
    <n v="1093.1099999999999"/>
    <n v="1176.9000000000001"/>
    <n v="171827.40000000002"/>
    <n v="159594.06"/>
    <n v="12233.340000000026"/>
    <n v="412.03457953525884"/>
    <n v="12645.374579535284"/>
    <n v="0"/>
    <n v="0"/>
    <n v="0"/>
    <n v="12645.374579535284"/>
  </r>
  <r>
    <x v="2"/>
    <d v="2020-04-03T00:00:00"/>
    <d v="2020-04-24T00:00:00"/>
    <x v="2"/>
    <n v="9"/>
    <n v="97"/>
    <n v="1093.1099999999999"/>
    <n v="1176.9000000000001"/>
    <n v="114159.3"/>
    <n v="106031.66999999998"/>
    <n v="8127.6300000000192"/>
    <n v="273.74900147205551"/>
    <n v="8401.3790014720744"/>
    <n v="0"/>
    <n v="0"/>
    <n v="0"/>
    <n v="8401.3790014720744"/>
  </r>
  <r>
    <x v="3"/>
    <d v="2020-05-05T00:00:00"/>
    <d v="2020-05-25T00:00:00"/>
    <x v="2"/>
    <n v="9"/>
    <n v="94"/>
    <n v="1093.1099999999999"/>
    <n v="1176.9000000000001"/>
    <n v="110628.6"/>
    <n v="102752.34"/>
    <n v="7876.2600000000093"/>
    <n v="265.28253750900228"/>
    <n v="8141.5425375090117"/>
    <n v="0"/>
    <n v="0"/>
    <n v="0"/>
    <n v="8141.5425375090117"/>
  </r>
  <r>
    <x v="4"/>
    <d v="2020-06-03T00:00:00"/>
    <d v="2020-06-24T00:00:00"/>
    <x v="2"/>
    <n v="9"/>
    <n v="106"/>
    <n v="1093.1099999999999"/>
    <n v="1176.9000000000001"/>
    <n v="124751.40000000001"/>
    <n v="115869.65999999999"/>
    <n v="8881.7400000000198"/>
    <n v="299.14839336121537"/>
    <n v="9180.888393361236"/>
    <n v="0"/>
    <n v="0"/>
    <n v="0"/>
    <n v="9180.888393361236"/>
  </r>
  <r>
    <x v="5"/>
    <d v="2020-07-03T00:00:00"/>
    <d v="2020-07-24T00:00:00"/>
    <x v="2"/>
    <n v="9"/>
    <n v="132"/>
    <n v="1093.1099999999999"/>
    <n v="1176.9000000000001"/>
    <n v="155350.80000000002"/>
    <n v="144290.51999999999"/>
    <n v="11060.280000000028"/>
    <n v="372.52441437434362"/>
    <n v="11432.804414374372"/>
    <n v="0"/>
    <n v="0"/>
    <n v="0"/>
    <n v="11432.804414374372"/>
  </r>
  <r>
    <x v="6"/>
    <d v="2020-08-05T00:00:00"/>
    <d v="2020-08-24T00:00:00"/>
    <x v="2"/>
    <n v="9"/>
    <n v="139"/>
    <n v="1093.1099999999999"/>
    <n v="1176.9000000000001"/>
    <n v="163589.1"/>
    <n v="151942.28999999998"/>
    <n v="11646.810000000027"/>
    <n v="392.27949695480123"/>
    <n v="12039.089496954828"/>
    <n v="0"/>
    <n v="0"/>
    <n v="0"/>
    <n v="12039.089496954828"/>
  </r>
  <r>
    <x v="7"/>
    <d v="2020-09-03T00:00:00"/>
    <d v="2020-09-24T00:00:00"/>
    <x v="2"/>
    <n v="9"/>
    <n v="136"/>
    <n v="1093.1099999999999"/>
    <n v="1176.9000000000001"/>
    <n v="160058.40000000002"/>
    <n v="148662.96"/>
    <n v="11395.440000000031"/>
    <n v="383.813032991748"/>
    <n v="11779.253032991779"/>
    <n v="0"/>
    <n v="0"/>
    <n v="0"/>
    <n v="11779.253032991779"/>
  </r>
  <r>
    <x v="8"/>
    <d v="2020-10-05T00:00:00"/>
    <d v="2020-10-26T00:00:00"/>
    <x v="2"/>
    <n v="9"/>
    <n v="116"/>
    <n v="1093.1099999999999"/>
    <n v="1176.9000000000001"/>
    <n v="136520.40000000002"/>
    <n v="126800.76"/>
    <n v="9719.6400000000285"/>
    <n v="327.36993990472621"/>
    <n v="10047.009939904754"/>
    <n v="0"/>
    <n v="0"/>
    <n v="0"/>
    <n v="10047.009939904754"/>
  </r>
  <r>
    <x v="9"/>
    <d v="2020-11-04T00:00:00"/>
    <d v="2020-11-24T00:00:00"/>
    <x v="2"/>
    <n v="9"/>
    <n v="78"/>
    <n v="1093.1099999999999"/>
    <n v="1176.9000000000001"/>
    <n v="91798.200000000012"/>
    <n v="85262.579999999987"/>
    <n v="6535.6200000000244"/>
    <n v="220.12806303938487"/>
    <n v="6755.7480630394093"/>
    <n v="0"/>
    <n v="0"/>
    <n v="0"/>
    <n v="6755.7480630394093"/>
  </r>
  <r>
    <x v="10"/>
    <d v="2020-12-03T00:00:00"/>
    <d v="2020-12-24T00:00:00"/>
    <x v="2"/>
    <n v="9"/>
    <n v="109"/>
    <n v="1093.1099999999999"/>
    <n v="1176.9000000000001"/>
    <n v="128282.1"/>
    <n v="119148.98999999999"/>
    <n v="9133.1100000000151"/>
    <n v="307.6148573242686"/>
    <n v="9440.7248573242832"/>
    <n v="0"/>
    <n v="0"/>
    <n v="0"/>
    <n v="9440.7248573242832"/>
  </r>
  <r>
    <x v="11"/>
    <d v="2021-01-06T00:00:00"/>
    <d v="2021-01-25T00:00:00"/>
    <x v="2"/>
    <n v="9"/>
    <n v="143"/>
    <n v="1093.1099999999999"/>
    <n v="1176.9000000000001"/>
    <n v="168296.7"/>
    <n v="156314.72999999998"/>
    <n v="11981.97000000003"/>
    <n v="403.56811557220561"/>
    <n v="12385.538115572235"/>
    <n v="0"/>
    <n v="0"/>
    <n v="0"/>
    <n v="12385.538115572235"/>
  </r>
  <r>
    <x v="0"/>
    <d v="2020-02-05T00:00:00"/>
    <d v="2020-02-24T00:00:00"/>
    <x v="3"/>
    <n v="9"/>
    <n v="753"/>
    <n v="1093.1099999999999"/>
    <n v="1176.9000000000001"/>
    <n v="886205.70000000007"/>
    <n v="823111.83"/>
    <n v="63093.870000000112"/>
    <n v="2125.0824547263692"/>
    <n v="65218.952454726481"/>
    <n v="0"/>
    <n v="0"/>
    <n v="0"/>
    <n v="65218.952454726481"/>
  </r>
  <r>
    <x v="1"/>
    <d v="2020-03-04T00:00:00"/>
    <d v="2020-03-24T00:00:00"/>
    <x v="3"/>
    <n v="9"/>
    <n v="715"/>
    <n v="1093.1099999999999"/>
    <n v="1176.9000000000001"/>
    <n v="841483.50000000012"/>
    <n v="781573.64999999991"/>
    <n v="59909.85000000021"/>
    <n v="2017.8405778610281"/>
    <n v="61927.690577861234"/>
    <n v="0"/>
    <n v="0"/>
    <n v="0"/>
    <n v="61927.690577861234"/>
  </r>
  <r>
    <x v="2"/>
    <d v="2020-04-03T00:00:00"/>
    <d v="2020-04-24T00:00:00"/>
    <x v="3"/>
    <n v="9"/>
    <n v="510"/>
    <n v="1093.1099999999999"/>
    <n v="1176.9000000000001"/>
    <n v="600219"/>
    <n v="557486.1"/>
    <n v="42732.900000000023"/>
    <n v="1439.2988737190549"/>
    <n v="44172.198873719077"/>
    <n v="0"/>
    <n v="0"/>
    <n v="0"/>
    <n v="44172.198873719077"/>
  </r>
  <r>
    <x v="3"/>
    <d v="2020-05-05T00:00:00"/>
    <d v="2020-05-25T00:00:00"/>
    <x v="3"/>
    <n v="9"/>
    <n v="615"/>
    <n v="1093.1099999999999"/>
    <n v="1176.9000000000001"/>
    <n v="723793.5"/>
    <n v="672262.64999999991"/>
    <n v="51530.850000000093"/>
    <n v="1735.625112425919"/>
    <n v="53266.475112426015"/>
    <n v="0"/>
    <n v="0"/>
    <n v="0"/>
    <n v="53266.475112426015"/>
  </r>
  <r>
    <x v="4"/>
    <d v="2020-06-03T00:00:00"/>
    <d v="2020-06-24T00:00:00"/>
    <x v="3"/>
    <n v="9"/>
    <n v="551"/>
    <n v="1093.1099999999999"/>
    <n v="1176.9000000000001"/>
    <n v="648471.9"/>
    <n v="602303.61"/>
    <n v="46168.290000000037"/>
    <n v="1555.0072145474494"/>
    <n v="47723.297214547485"/>
    <n v="0"/>
    <n v="0"/>
    <n v="0"/>
    <n v="47723.297214547485"/>
  </r>
  <r>
    <x v="5"/>
    <d v="2020-07-03T00:00:00"/>
    <d v="2020-07-24T00:00:00"/>
    <x v="3"/>
    <n v="9"/>
    <n v="815"/>
    <n v="1093.1099999999999"/>
    <n v="1176.9000000000001"/>
    <n v="959173.50000000012"/>
    <n v="890884.64999999991"/>
    <n v="68288.85000000021"/>
    <n v="2300.0560432961365"/>
    <n v="70588.906043296345"/>
    <n v="0"/>
    <n v="0"/>
    <n v="0"/>
    <n v="70588.906043296345"/>
  </r>
  <r>
    <x v="6"/>
    <d v="2020-08-05T00:00:00"/>
    <d v="2020-08-24T00:00:00"/>
    <x v="3"/>
    <n v="9"/>
    <n v="816"/>
    <n v="1093.1099999999999"/>
    <n v="1176.9000000000001"/>
    <n v="960350.4"/>
    <n v="891977.75999999989"/>
    <n v="68372.64000000013"/>
    <n v="2302.8781979504879"/>
    <n v="70675.518197950616"/>
    <n v="0"/>
    <n v="0"/>
    <n v="0"/>
    <n v="70675.518197950616"/>
  </r>
  <r>
    <x v="7"/>
    <d v="2020-09-03T00:00:00"/>
    <d v="2020-09-24T00:00:00"/>
    <x v="3"/>
    <n v="9"/>
    <n v="889"/>
    <n v="1093.1099999999999"/>
    <n v="1176.9000000000001"/>
    <n v="1046264.1000000001"/>
    <n v="971774.78999999992"/>
    <n v="74489.310000000172"/>
    <n v="2508.8954877181172"/>
    <n v="76998.205487718296"/>
    <n v="0"/>
    <n v="0"/>
    <n v="0"/>
    <n v="76998.205487718296"/>
  </r>
  <r>
    <x v="8"/>
    <d v="2020-10-05T00:00:00"/>
    <d v="2020-10-26T00:00:00"/>
    <x v="3"/>
    <n v="9"/>
    <n v="768"/>
    <n v="1093.1099999999999"/>
    <n v="1176.9000000000001"/>
    <n v="903859.20000000007"/>
    <n v="839508.47999999998"/>
    <n v="64350.720000000088"/>
    <n v="2167.4147745416353"/>
    <n v="66518.13477454173"/>
    <n v="0"/>
    <n v="0"/>
    <n v="0"/>
    <n v="66518.13477454173"/>
  </r>
  <r>
    <x v="9"/>
    <d v="2020-11-04T00:00:00"/>
    <d v="2020-11-24T00:00:00"/>
    <x v="3"/>
    <n v="9"/>
    <n v="633"/>
    <n v="1093.1099999999999"/>
    <n v="1176.9000000000001"/>
    <n v="744977.70000000007"/>
    <n v="691938.62999999989"/>
    <n v="53039.070000000182"/>
    <n v="1786.4238962042386"/>
    <n v="54825.493896204418"/>
    <n v="0"/>
    <n v="0"/>
    <n v="0"/>
    <n v="54825.493896204418"/>
  </r>
  <r>
    <x v="10"/>
    <d v="2020-12-03T00:00:00"/>
    <d v="2020-12-24T00:00:00"/>
    <x v="3"/>
    <n v="9"/>
    <n v="639"/>
    <n v="1093.1099999999999"/>
    <n v="1176.9000000000001"/>
    <n v="752039.10000000009"/>
    <n v="698497.28999999992"/>
    <n v="53541.810000000172"/>
    <n v="1803.3568241303453"/>
    <n v="55345.166824130516"/>
    <n v="0"/>
    <n v="0"/>
    <n v="0"/>
    <n v="55345.166824130516"/>
  </r>
  <r>
    <x v="11"/>
    <d v="2021-01-06T00:00:00"/>
    <d v="2021-01-25T00:00:00"/>
    <x v="3"/>
    <n v="9"/>
    <n v="734"/>
    <n v="1093.1099999999999"/>
    <n v="1176.9000000000001"/>
    <n v="863844.60000000009"/>
    <n v="802342.73999999987"/>
    <n v="61501.860000000219"/>
    <n v="2071.4615162936984"/>
    <n v="63573.321516293916"/>
    <n v="0"/>
    <n v="0"/>
    <n v="0"/>
    <n v="63573.321516293916"/>
  </r>
  <r>
    <x v="0"/>
    <d v="2020-02-05T00:00:00"/>
    <d v="2020-02-24T00:00:00"/>
    <x v="4"/>
    <n v="9"/>
    <n v="41"/>
    <n v="1093.1099999999999"/>
    <n v="1176.9000000000001"/>
    <n v="48252.9"/>
    <n v="44817.509999999995"/>
    <n v="3435.3900000000067"/>
    <n v="115.70834082839461"/>
    <n v="3551.0983408284014"/>
    <n v="0"/>
    <n v="0"/>
    <n v="0"/>
    <n v="3551.0983408284014"/>
  </r>
  <r>
    <x v="1"/>
    <d v="2020-03-04T00:00:00"/>
    <d v="2020-03-24T00:00:00"/>
    <x v="4"/>
    <n v="9"/>
    <n v="34"/>
    <n v="1093.1099999999999"/>
    <n v="1176.9000000000001"/>
    <n v="40014.600000000006"/>
    <n v="37165.74"/>
    <n v="2848.8600000000079"/>
    <n v="95.953258247937001"/>
    <n v="2944.8132582479448"/>
    <n v="0"/>
    <n v="0"/>
    <n v="0"/>
    <n v="2944.8132582479448"/>
  </r>
  <r>
    <x v="2"/>
    <d v="2020-04-03T00:00:00"/>
    <d v="2020-04-24T00:00:00"/>
    <x v="4"/>
    <n v="9"/>
    <n v="25"/>
    <n v="1093.1099999999999"/>
    <n v="1176.9000000000001"/>
    <n v="29422.500000000004"/>
    <n v="27327.749999999996"/>
    <n v="2094.7500000000073"/>
    <n v="70.553866358777199"/>
    <n v="2165.3038663587845"/>
    <n v="0"/>
    <n v="0"/>
    <n v="0"/>
    <n v="2165.3038663587845"/>
  </r>
  <r>
    <x v="3"/>
    <d v="2020-05-05T00:00:00"/>
    <d v="2020-05-25T00:00:00"/>
    <x v="4"/>
    <n v="9"/>
    <n v="31"/>
    <n v="1093.1099999999999"/>
    <n v="1176.9000000000001"/>
    <n v="36483.9"/>
    <n v="33886.409999999996"/>
    <n v="2597.4900000000052"/>
    <n v="87.486794284883729"/>
    <n v="2684.9767942848889"/>
    <n v="0"/>
    <n v="0"/>
    <n v="0"/>
    <n v="2684.9767942848889"/>
  </r>
  <r>
    <x v="4"/>
    <d v="2020-06-03T00:00:00"/>
    <d v="2020-06-24T00:00:00"/>
    <x v="4"/>
    <n v="9"/>
    <n v="28"/>
    <n v="1093.1099999999999"/>
    <n v="1176.9000000000001"/>
    <n v="32953.200000000004"/>
    <n v="30607.079999999998"/>
    <n v="2346.1200000000063"/>
    <n v="79.020330321830457"/>
    <n v="2425.1403303218367"/>
    <n v="0"/>
    <n v="0"/>
    <n v="0"/>
    <n v="2425.1403303218367"/>
  </r>
  <r>
    <x v="5"/>
    <d v="2020-07-03T00:00:00"/>
    <d v="2020-07-24T00:00:00"/>
    <x v="4"/>
    <n v="9"/>
    <n v="46"/>
    <n v="1093.1099999999999"/>
    <n v="1176.9000000000001"/>
    <n v="54137.4"/>
    <n v="50283.06"/>
    <n v="3854.3400000000038"/>
    <n v="129.81911410015005"/>
    <n v="3984.1591141001536"/>
    <n v="0"/>
    <n v="0"/>
    <n v="0"/>
    <n v="3984.1591141001536"/>
  </r>
  <r>
    <x v="6"/>
    <d v="2020-08-05T00:00:00"/>
    <d v="2020-08-24T00:00:00"/>
    <x v="4"/>
    <n v="9"/>
    <n v="46"/>
    <n v="1093.1099999999999"/>
    <n v="1176.9000000000001"/>
    <n v="54137.4"/>
    <n v="50283.06"/>
    <n v="3854.3400000000038"/>
    <n v="129.81911410015005"/>
    <n v="3984.1591141001536"/>
    <n v="0"/>
    <n v="0"/>
    <n v="0"/>
    <n v="3984.1591141001536"/>
  </r>
  <r>
    <x v="7"/>
    <d v="2020-09-03T00:00:00"/>
    <d v="2020-09-24T00:00:00"/>
    <x v="4"/>
    <n v="9"/>
    <n v="43"/>
    <n v="1093.1099999999999"/>
    <n v="1176.9000000000001"/>
    <n v="50606.700000000004"/>
    <n v="47003.729999999996"/>
    <n v="3602.9700000000084"/>
    <n v="121.35265013709679"/>
    <n v="3724.322650137105"/>
    <n v="0"/>
    <n v="0"/>
    <n v="0"/>
    <n v="3724.322650137105"/>
  </r>
  <r>
    <x v="8"/>
    <d v="2020-10-05T00:00:00"/>
    <d v="2020-10-26T00:00:00"/>
    <x v="4"/>
    <n v="9"/>
    <n v="41"/>
    <n v="1093.1099999999999"/>
    <n v="1176.9000000000001"/>
    <n v="48252.9"/>
    <n v="44817.509999999995"/>
    <n v="3435.3900000000067"/>
    <n v="115.70834082839461"/>
    <n v="3551.0983408284014"/>
    <n v="0"/>
    <n v="0"/>
    <n v="0"/>
    <n v="3551.0983408284014"/>
  </r>
  <r>
    <x v="9"/>
    <d v="2020-11-04T00:00:00"/>
    <d v="2020-11-24T00:00:00"/>
    <x v="4"/>
    <n v="9"/>
    <n v="32"/>
    <n v="1093.1099999999999"/>
    <n v="1176.9000000000001"/>
    <n v="37660.800000000003"/>
    <n v="34979.519999999997"/>
    <n v="2681.2800000000061"/>
    <n v="90.30894893923481"/>
    <n v="2771.5889489392407"/>
    <n v="0"/>
    <n v="0"/>
    <n v="0"/>
    <n v="2771.5889489392407"/>
  </r>
  <r>
    <x v="10"/>
    <d v="2020-12-03T00:00:00"/>
    <d v="2020-12-24T00:00:00"/>
    <x v="4"/>
    <n v="9"/>
    <n v="30"/>
    <n v="1093.1099999999999"/>
    <n v="1176.9000000000001"/>
    <n v="35307"/>
    <n v="32793.299999999996"/>
    <n v="2513.7000000000044"/>
    <n v="84.664639630532648"/>
    <n v="2598.3646396305371"/>
    <n v="0"/>
    <n v="0"/>
    <n v="0"/>
    <n v="2598.3646396305371"/>
  </r>
  <r>
    <x v="11"/>
    <d v="2021-01-06T00:00:00"/>
    <d v="2021-01-25T00:00:00"/>
    <x v="4"/>
    <n v="9"/>
    <n v="39"/>
    <n v="1093.1099999999999"/>
    <n v="1176.9000000000001"/>
    <n v="45899.100000000006"/>
    <n v="42631.289999999994"/>
    <n v="3267.8100000000122"/>
    <n v="110.06403151969243"/>
    <n v="3377.8740315197047"/>
    <n v="0"/>
    <n v="0"/>
    <n v="0"/>
    <n v="3377.8740315197047"/>
  </r>
  <r>
    <x v="0"/>
    <d v="2020-02-05T00:00:00"/>
    <d v="2020-02-24T00:00:00"/>
    <x v="5"/>
    <n v="9"/>
    <n v="40"/>
    <n v="1093.1099999999999"/>
    <n v="1176.9000000000001"/>
    <n v="47076"/>
    <n v="43724.399999999994"/>
    <n v="3351.6000000000058"/>
    <n v="112.88618617404353"/>
    <n v="3464.4861861740492"/>
    <n v="0"/>
    <n v="0"/>
    <n v="0"/>
    <n v="3464.4861861740492"/>
  </r>
  <r>
    <x v="1"/>
    <d v="2020-03-04T00:00:00"/>
    <d v="2020-03-24T00:00:00"/>
    <x v="5"/>
    <n v="9"/>
    <n v="42"/>
    <n v="1093.1099999999999"/>
    <n v="1176.9000000000001"/>
    <n v="49429.8"/>
    <n v="45910.619999999995"/>
    <n v="3519.1800000000076"/>
    <n v="118.53049548274569"/>
    <n v="3637.7104954827532"/>
    <n v="0"/>
    <n v="0"/>
    <n v="0"/>
    <n v="3637.7104954827532"/>
  </r>
  <r>
    <x v="2"/>
    <d v="2020-04-03T00:00:00"/>
    <d v="2020-04-24T00:00:00"/>
    <x v="5"/>
    <n v="9"/>
    <n v="29"/>
    <n v="1093.1099999999999"/>
    <n v="1176.9000000000001"/>
    <n v="34130.100000000006"/>
    <n v="31700.19"/>
    <n v="2429.9100000000071"/>
    <n v="81.842484976181552"/>
    <n v="2511.7524849761885"/>
    <n v="0"/>
    <n v="0"/>
    <n v="0"/>
    <n v="2511.7524849761885"/>
  </r>
  <r>
    <x v="3"/>
    <d v="2020-05-05T00:00:00"/>
    <d v="2020-05-25T00:00:00"/>
    <x v="5"/>
    <n v="9"/>
    <n v="32"/>
    <n v="1093.1099999999999"/>
    <n v="1176.9000000000001"/>
    <n v="37660.800000000003"/>
    <n v="34979.519999999997"/>
    <n v="2681.2800000000061"/>
    <n v="90.30894893923481"/>
    <n v="2771.5889489392407"/>
    <n v="0"/>
    <n v="0"/>
    <n v="0"/>
    <n v="2771.5889489392407"/>
  </r>
  <r>
    <x v="4"/>
    <d v="2020-06-03T00:00:00"/>
    <d v="2020-06-24T00:00:00"/>
    <x v="5"/>
    <n v="9"/>
    <n v="24"/>
    <n v="1093.1099999999999"/>
    <n v="1176.9000000000001"/>
    <n v="28245.600000000002"/>
    <n v="26234.639999999999"/>
    <n v="2010.9600000000028"/>
    <n v="67.731711704426104"/>
    <n v="2078.6917117044291"/>
    <n v="0"/>
    <n v="0"/>
    <n v="0"/>
    <n v="2078.6917117044291"/>
  </r>
  <r>
    <x v="5"/>
    <d v="2020-07-03T00:00:00"/>
    <d v="2020-07-24T00:00:00"/>
    <x v="5"/>
    <n v="9"/>
    <n v="32"/>
    <n v="1093.1099999999999"/>
    <n v="1176.9000000000001"/>
    <n v="37660.800000000003"/>
    <n v="34979.519999999997"/>
    <n v="2681.2800000000061"/>
    <n v="90.30894893923481"/>
    <n v="2771.5889489392407"/>
    <n v="0"/>
    <n v="0"/>
    <n v="0"/>
    <n v="2771.5889489392407"/>
  </r>
  <r>
    <x v="6"/>
    <d v="2020-08-05T00:00:00"/>
    <d v="2020-08-24T00:00:00"/>
    <x v="5"/>
    <n v="9"/>
    <n v="42"/>
    <n v="1093.1099999999999"/>
    <n v="1176.9000000000001"/>
    <n v="49429.8"/>
    <n v="45910.619999999995"/>
    <n v="3519.1800000000076"/>
    <n v="118.53049548274569"/>
    <n v="3637.7104954827532"/>
    <n v="0"/>
    <n v="0"/>
    <n v="0"/>
    <n v="3637.7104954827532"/>
  </r>
  <r>
    <x v="7"/>
    <d v="2020-09-03T00:00:00"/>
    <d v="2020-09-24T00:00:00"/>
    <x v="5"/>
    <n v="9"/>
    <n v="39"/>
    <n v="1093.1099999999999"/>
    <n v="1176.9000000000001"/>
    <n v="45899.100000000006"/>
    <n v="42631.289999999994"/>
    <n v="3267.8100000000122"/>
    <n v="110.06403151969243"/>
    <n v="3377.8740315197047"/>
    <n v="0"/>
    <n v="0"/>
    <n v="0"/>
    <n v="3377.8740315197047"/>
  </r>
  <r>
    <x v="8"/>
    <d v="2020-10-05T00:00:00"/>
    <d v="2020-10-26T00:00:00"/>
    <x v="5"/>
    <n v="9"/>
    <n v="36"/>
    <n v="1093.1099999999999"/>
    <n v="1176.9000000000001"/>
    <n v="42368.4"/>
    <n v="39351.96"/>
    <n v="3016.4400000000023"/>
    <n v="101.59756755663918"/>
    <n v="3118.0375675566415"/>
    <n v="0"/>
    <n v="0"/>
    <n v="0"/>
    <n v="3118.0375675566415"/>
  </r>
  <r>
    <x v="9"/>
    <d v="2020-11-04T00:00:00"/>
    <d v="2020-11-24T00:00:00"/>
    <x v="5"/>
    <n v="9"/>
    <n v="34"/>
    <n v="1093.1099999999999"/>
    <n v="1176.9000000000001"/>
    <n v="40014.600000000006"/>
    <n v="37165.74"/>
    <n v="2848.8600000000079"/>
    <n v="95.953258247937001"/>
    <n v="2944.8132582479448"/>
    <n v="0"/>
    <n v="0"/>
    <n v="0"/>
    <n v="2944.8132582479448"/>
  </r>
  <r>
    <x v="10"/>
    <d v="2020-12-03T00:00:00"/>
    <d v="2020-12-24T00:00:00"/>
    <x v="5"/>
    <n v="9"/>
    <n v="37"/>
    <n v="1093.1099999999999"/>
    <n v="1176.9000000000001"/>
    <n v="43545.3"/>
    <n v="40445.07"/>
    <n v="3100.2300000000032"/>
    <n v="104.41972221099026"/>
    <n v="3204.6497222109933"/>
    <n v="0"/>
    <n v="0"/>
    <n v="0"/>
    <n v="3204.6497222109933"/>
  </r>
  <r>
    <x v="11"/>
    <d v="2021-01-06T00:00:00"/>
    <d v="2021-01-25T00:00:00"/>
    <x v="5"/>
    <n v="9"/>
    <n v="41"/>
    <n v="1093.1099999999999"/>
    <n v="1176.9000000000001"/>
    <n v="48252.9"/>
    <n v="44817.509999999995"/>
    <n v="3435.3900000000067"/>
    <n v="115.70834082839461"/>
    <n v="3551.0983408284014"/>
    <n v="0"/>
    <n v="0"/>
    <n v="0"/>
    <n v="3551.0983408284014"/>
  </r>
  <r>
    <x v="0"/>
    <d v="2020-02-05T00:00:00"/>
    <d v="2020-02-24T00:00:00"/>
    <x v="6"/>
    <n v="9"/>
    <n v="76"/>
    <n v="1093.1099999999999"/>
    <n v="1176.9000000000001"/>
    <n v="89444.400000000009"/>
    <n v="83076.359999999986"/>
    <n v="6368.0400000000227"/>
    <n v="214.48375373068271"/>
    <n v="6582.5237537307057"/>
    <n v="0"/>
    <n v="0"/>
    <n v="0"/>
    <n v="6582.5237537307057"/>
  </r>
  <r>
    <x v="1"/>
    <d v="2020-03-04T00:00:00"/>
    <d v="2020-03-24T00:00:00"/>
    <x v="6"/>
    <n v="9"/>
    <n v="77"/>
    <n v="1093.1099999999999"/>
    <n v="1176.9000000000001"/>
    <n v="90621.3"/>
    <n v="84169.469999999987"/>
    <n v="6451.8300000000163"/>
    <n v="217.30590838503377"/>
    <n v="6669.1359083850502"/>
    <n v="0"/>
    <n v="0"/>
    <n v="0"/>
    <n v="6669.1359083850502"/>
  </r>
  <r>
    <x v="2"/>
    <d v="2020-04-03T00:00:00"/>
    <d v="2020-04-24T00:00:00"/>
    <x v="6"/>
    <n v="9"/>
    <n v="85"/>
    <n v="1093.1099999999999"/>
    <n v="1176.9000000000001"/>
    <n v="100036.50000000001"/>
    <n v="92914.349999999991"/>
    <n v="7122.1500000000233"/>
    <n v="239.88314561984248"/>
    <n v="7362.0331456198655"/>
    <n v="0"/>
    <n v="0"/>
    <n v="0"/>
    <n v="7362.0331456198655"/>
  </r>
  <r>
    <x v="3"/>
    <d v="2020-05-05T00:00:00"/>
    <d v="2020-05-25T00:00:00"/>
    <x v="6"/>
    <n v="9"/>
    <n v="82"/>
    <n v="1093.1099999999999"/>
    <n v="1176.9000000000001"/>
    <n v="96505.8"/>
    <n v="89635.01999999999"/>
    <n v="6870.7800000000134"/>
    <n v="231.41668165678922"/>
    <n v="7102.1966816568029"/>
    <n v="0"/>
    <n v="0"/>
    <n v="0"/>
    <n v="7102.1966816568029"/>
  </r>
  <r>
    <x v="4"/>
    <d v="2020-06-03T00:00:00"/>
    <d v="2020-06-24T00:00:00"/>
    <x v="6"/>
    <n v="9"/>
    <n v="117"/>
    <n v="1093.1099999999999"/>
    <n v="1176.9000000000001"/>
    <n v="137697.30000000002"/>
    <n v="127893.87"/>
    <n v="9803.4300000000221"/>
    <n v="330.1920945590773"/>
    <n v="10133.622094559099"/>
    <n v="0"/>
    <n v="0"/>
    <n v="0"/>
    <n v="10133.622094559099"/>
  </r>
  <r>
    <x v="5"/>
    <d v="2020-07-03T00:00:00"/>
    <d v="2020-07-24T00:00:00"/>
    <x v="6"/>
    <n v="9"/>
    <n v="131"/>
    <n v="1093.1099999999999"/>
    <n v="1176.9000000000001"/>
    <n v="154173.90000000002"/>
    <n v="143197.40999999997"/>
    <n v="10976.490000000049"/>
    <n v="369.70225971999253"/>
    <n v="11346.192259720041"/>
    <n v="0"/>
    <n v="0"/>
    <n v="0"/>
    <n v="11346.192259720041"/>
  </r>
  <r>
    <x v="6"/>
    <d v="2020-08-05T00:00:00"/>
    <d v="2020-08-24T00:00:00"/>
    <x v="6"/>
    <n v="9"/>
    <n v="147"/>
    <n v="1093.1099999999999"/>
    <n v="1176.9000000000001"/>
    <n v="173004.30000000002"/>
    <n v="160687.16999999998"/>
    <n v="12317.130000000034"/>
    <n v="414.85673418960994"/>
    <n v="12731.986734189644"/>
    <n v="0"/>
    <n v="0"/>
    <n v="0"/>
    <n v="12731.986734189644"/>
  </r>
  <r>
    <x v="7"/>
    <d v="2020-09-03T00:00:00"/>
    <d v="2020-09-24T00:00:00"/>
    <x v="6"/>
    <n v="9"/>
    <n v="141"/>
    <n v="1093.1099999999999"/>
    <n v="1176.9000000000001"/>
    <n v="165942.90000000002"/>
    <n v="154128.50999999998"/>
    <n v="11814.390000000043"/>
    <n v="397.92380626350342"/>
    <n v="12212.313806263546"/>
    <n v="0"/>
    <n v="0"/>
    <n v="0"/>
    <n v="12212.313806263546"/>
  </r>
  <r>
    <x v="8"/>
    <d v="2020-10-05T00:00:00"/>
    <d v="2020-10-26T00:00:00"/>
    <x v="6"/>
    <n v="9"/>
    <n v="111"/>
    <n v="1093.1099999999999"/>
    <n v="1176.9000000000001"/>
    <n v="130635.90000000001"/>
    <n v="121335.20999999999"/>
    <n v="9300.6900000000169"/>
    <n v="313.25916663297073"/>
    <n v="9613.9491666329868"/>
    <n v="0"/>
    <n v="0"/>
    <n v="0"/>
    <n v="9613.9491666329868"/>
  </r>
  <r>
    <x v="9"/>
    <d v="2020-11-04T00:00:00"/>
    <d v="2020-11-24T00:00:00"/>
    <x v="6"/>
    <n v="9"/>
    <n v="98"/>
    <n v="1093.1099999999999"/>
    <n v="1176.9000000000001"/>
    <n v="115336.20000000001"/>
    <n v="107124.77999999998"/>
    <n v="8211.4200000000274"/>
    <n v="276.57115612640661"/>
    <n v="8487.9911561264344"/>
    <n v="0"/>
    <n v="0"/>
    <n v="0"/>
    <n v="8487.9911561264344"/>
  </r>
  <r>
    <x v="10"/>
    <d v="2020-12-03T00:00:00"/>
    <d v="2020-12-24T00:00:00"/>
    <x v="6"/>
    <n v="9"/>
    <n v="74"/>
    <n v="1093.1099999999999"/>
    <n v="1176.9000000000001"/>
    <n v="87090.6"/>
    <n v="80890.14"/>
    <n v="6200.4600000000064"/>
    <n v="208.83944442198052"/>
    <n v="6409.2994444219867"/>
    <n v="0"/>
    <n v="0"/>
    <n v="0"/>
    <n v="6409.2994444219867"/>
  </r>
  <r>
    <x v="11"/>
    <d v="2021-01-06T00:00:00"/>
    <d v="2021-01-25T00:00:00"/>
    <x v="6"/>
    <n v="9"/>
    <n v="78"/>
    <n v="1093.1099999999999"/>
    <n v="1176.9000000000001"/>
    <n v="91798.200000000012"/>
    <n v="85262.579999999987"/>
    <n v="6535.6200000000244"/>
    <n v="220.12806303938487"/>
    <n v="6755.7480630394093"/>
    <n v="0"/>
    <n v="0"/>
    <n v="0"/>
    <n v="6755.7480630394093"/>
  </r>
  <r>
    <x v="0"/>
    <d v="2020-02-05T00:00:00"/>
    <d v="2020-02-24T00:00:00"/>
    <x v="7"/>
    <n v="9"/>
    <n v="39"/>
    <n v="1093.1099999999999"/>
    <n v="1176.9000000000001"/>
    <n v="45899.100000000006"/>
    <n v="42631.289999999994"/>
    <n v="3267.8100000000122"/>
    <n v="110.06403151969243"/>
    <n v="3377.8740315197047"/>
    <n v="0"/>
    <n v="0"/>
    <n v="0"/>
    <n v="3377.8740315197047"/>
  </r>
  <r>
    <x v="1"/>
    <d v="2020-03-04T00:00:00"/>
    <d v="2020-03-24T00:00:00"/>
    <x v="7"/>
    <n v="9"/>
    <n v="41"/>
    <n v="1093.1099999999999"/>
    <n v="1176.9000000000001"/>
    <n v="48252.9"/>
    <n v="44817.509999999995"/>
    <n v="3435.3900000000067"/>
    <n v="115.70834082839461"/>
    <n v="3551.0983408284014"/>
    <n v="0"/>
    <n v="0"/>
    <n v="0"/>
    <n v="3551.0983408284014"/>
  </r>
  <r>
    <x v="2"/>
    <d v="2020-04-03T00:00:00"/>
    <d v="2020-04-24T00:00:00"/>
    <x v="7"/>
    <n v="9"/>
    <n v="36"/>
    <n v="1093.1099999999999"/>
    <n v="1176.9000000000001"/>
    <n v="42368.4"/>
    <n v="39351.96"/>
    <n v="3016.4400000000023"/>
    <n v="101.59756755663918"/>
    <n v="3118.0375675566415"/>
    <n v="0"/>
    <n v="0"/>
    <n v="0"/>
    <n v="3118.0375675566415"/>
  </r>
  <r>
    <x v="3"/>
    <d v="2020-05-05T00:00:00"/>
    <d v="2020-05-25T00:00:00"/>
    <x v="7"/>
    <n v="9"/>
    <n v="31"/>
    <n v="1093.1099999999999"/>
    <n v="1176.9000000000001"/>
    <n v="36483.9"/>
    <n v="33886.409999999996"/>
    <n v="2597.4900000000052"/>
    <n v="87.486794284883729"/>
    <n v="2684.9767942848889"/>
    <n v="0"/>
    <n v="0"/>
    <n v="0"/>
    <n v="2684.9767942848889"/>
  </r>
  <r>
    <x v="4"/>
    <d v="2020-06-03T00:00:00"/>
    <d v="2020-06-24T00:00:00"/>
    <x v="7"/>
    <n v="9"/>
    <n v="32"/>
    <n v="1093.1099999999999"/>
    <n v="1176.9000000000001"/>
    <n v="37660.800000000003"/>
    <n v="34979.519999999997"/>
    <n v="2681.2800000000061"/>
    <n v="90.30894893923481"/>
    <n v="2771.5889489392407"/>
    <n v="0"/>
    <n v="0"/>
    <n v="0"/>
    <n v="2771.5889489392407"/>
  </r>
  <r>
    <x v="5"/>
    <d v="2020-07-03T00:00:00"/>
    <d v="2020-07-24T00:00:00"/>
    <x v="7"/>
    <n v="9"/>
    <n v="39"/>
    <n v="1093.1099999999999"/>
    <n v="1176.9000000000001"/>
    <n v="45899.100000000006"/>
    <n v="42631.289999999994"/>
    <n v="3267.8100000000122"/>
    <n v="110.06403151969243"/>
    <n v="3377.8740315197047"/>
    <n v="0"/>
    <n v="0"/>
    <n v="0"/>
    <n v="3377.8740315197047"/>
  </r>
  <r>
    <x v="6"/>
    <d v="2020-08-05T00:00:00"/>
    <d v="2020-08-24T00:00:00"/>
    <x v="7"/>
    <n v="9"/>
    <n v="44"/>
    <n v="1093.1099999999999"/>
    <n v="1176.9000000000001"/>
    <n v="51783.600000000006"/>
    <n v="48096.84"/>
    <n v="3686.7600000000093"/>
    <n v="124.17480479144788"/>
    <n v="3810.9348047914573"/>
    <n v="0"/>
    <n v="0"/>
    <n v="0"/>
    <n v="3810.9348047914573"/>
  </r>
  <r>
    <x v="7"/>
    <d v="2020-09-03T00:00:00"/>
    <d v="2020-09-24T00:00:00"/>
    <x v="7"/>
    <n v="9"/>
    <n v="38"/>
    <n v="1093.1099999999999"/>
    <n v="1176.9000000000001"/>
    <n v="44722.200000000004"/>
    <n v="41538.179999999993"/>
    <n v="3184.0200000000114"/>
    <n v="107.24187686534135"/>
    <n v="3291.2618768653529"/>
    <n v="0"/>
    <n v="0"/>
    <n v="0"/>
    <n v="3291.2618768653529"/>
  </r>
  <r>
    <x v="8"/>
    <d v="2020-10-05T00:00:00"/>
    <d v="2020-10-26T00:00:00"/>
    <x v="7"/>
    <n v="9"/>
    <n v="41"/>
    <n v="1093.1099999999999"/>
    <n v="1176.9000000000001"/>
    <n v="48252.9"/>
    <n v="44817.509999999995"/>
    <n v="3435.3900000000067"/>
    <n v="115.70834082839461"/>
    <n v="3551.0983408284014"/>
    <n v="0"/>
    <n v="0"/>
    <n v="0"/>
    <n v="3551.0983408284014"/>
  </r>
  <r>
    <x v="9"/>
    <d v="2020-11-04T00:00:00"/>
    <d v="2020-11-24T00:00:00"/>
    <x v="7"/>
    <n v="9"/>
    <n v="42"/>
    <n v="1093.1099999999999"/>
    <n v="1176.9000000000001"/>
    <n v="49429.8"/>
    <n v="45910.619999999995"/>
    <n v="3519.1800000000076"/>
    <n v="118.53049548274569"/>
    <n v="3637.7104954827532"/>
    <n v="0"/>
    <n v="0"/>
    <n v="0"/>
    <n v="3637.7104954827532"/>
  </r>
  <r>
    <x v="10"/>
    <d v="2020-12-03T00:00:00"/>
    <d v="2020-12-24T00:00:00"/>
    <x v="7"/>
    <n v="9"/>
    <n v="45"/>
    <n v="1093.1099999999999"/>
    <n v="1176.9000000000001"/>
    <n v="52960.500000000007"/>
    <n v="49189.95"/>
    <n v="3770.5500000000102"/>
    <n v="126.99695944579896"/>
    <n v="3897.5469594458091"/>
    <n v="0"/>
    <n v="0"/>
    <n v="0"/>
    <n v="3897.5469594458091"/>
  </r>
  <r>
    <x v="11"/>
    <d v="2021-01-06T00:00:00"/>
    <d v="2021-01-25T00:00:00"/>
    <x v="7"/>
    <n v="9"/>
    <n v="43"/>
    <n v="1093.1099999999999"/>
    <n v="1176.9000000000001"/>
    <n v="50606.700000000004"/>
    <n v="47003.729999999996"/>
    <n v="3602.9700000000084"/>
    <n v="121.35265013709679"/>
    <n v="3724.322650137105"/>
    <n v="0"/>
    <n v="0"/>
    <n v="0"/>
    <n v="3724.322650137105"/>
  </r>
  <r>
    <x v="0"/>
    <d v="2020-02-05T00:00:00"/>
    <d v="2020-02-24T00:00:00"/>
    <x v="8"/>
    <n v="9"/>
    <n v="973"/>
    <n v="1093.1099999999999"/>
    <n v="1176.9000000000001"/>
    <n v="1145123.7000000002"/>
    <n v="1063596.0299999998"/>
    <n v="81527.670000000391"/>
    <n v="2745.9564786836086"/>
    <n v="84273.626478684004"/>
    <n v="0"/>
    <n v="0"/>
    <n v="0"/>
    <n v="84273.626478684004"/>
  </r>
  <r>
    <x v="1"/>
    <d v="2020-03-04T00:00:00"/>
    <d v="2020-03-24T00:00:00"/>
    <x v="8"/>
    <n v="9"/>
    <n v="991"/>
    <n v="1093.1099999999999"/>
    <n v="1176.9000000000001"/>
    <n v="1166307.9000000001"/>
    <n v="1083272.01"/>
    <n v="83035.89000000013"/>
    <n v="2796.7552624619284"/>
    <n v="85832.645262462058"/>
    <n v="0"/>
    <n v="0"/>
    <n v="0"/>
    <n v="85832.645262462058"/>
  </r>
  <r>
    <x v="2"/>
    <d v="2020-04-03T00:00:00"/>
    <d v="2020-04-24T00:00:00"/>
    <x v="8"/>
    <n v="9"/>
    <n v="585"/>
    <n v="1093.1099999999999"/>
    <n v="1176.9000000000001"/>
    <n v="688486.5"/>
    <n v="639469.35"/>
    <n v="49017.150000000023"/>
    <n v="1650.9604727953865"/>
    <n v="50668.110472795408"/>
    <n v="0"/>
    <n v="0"/>
    <n v="0"/>
    <n v="50668.110472795408"/>
  </r>
  <r>
    <x v="3"/>
    <d v="2020-05-05T00:00:00"/>
    <d v="2020-05-25T00:00:00"/>
    <x v="8"/>
    <n v="9"/>
    <n v="650"/>
    <n v="1093.1099999999999"/>
    <n v="1176.9000000000001"/>
    <n v="764985.00000000012"/>
    <n v="710521.49999999988"/>
    <n v="54463.500000000233"/>
    <n v="1834.4005253282073"/>
    <n v="56297.900525328441"/>
    <n v="0"/>
    <n v="0"/>
    <n v="0"/>
    <n v="56297.900525328441"/>
  </r>
  <r>
    <x v="4"/>
    <d v="2020-06-03T00:00:00"/>
    <d v="2020-06-24T00:00:00"/>
    <x v="8"/>
    <n v="9"/>
    <n v="688"/>
    <n v="1093.1099999999999"/>
    <n v="1176.9000000000001"/>
    <n v="809707.20000000007"/>
    <n v="752059.67999999993"/>
    <n v="57647.520000000135"/>
    <n v="1941.6424021935486"/>
    <n v="59589.16240219368"/>
    <n v="0"/>
    <n v="0"/>
    <n v="0"/>
    <n v="59589.16240219368"/>
  </r>
  <r>
    <x v="5"/>
    <d v="2020-07-03T00:00:00"/>
    <d v="2020-07-24T00:00:00"/>
    <x v="8"/>
    <n v="9"/>
    <n v="835"/>
    <n v="1093.1099999999999"/>
    <n v="1176.9000000000001"/>
    <n v="982711.50000000012"/>
    <n v="912746.84999999986"/>
    <n v="69964.650000000256"/>
    <n v="2356.4991363831582"/>
    <n v="72321.149136383421"/>
    <n v="0"/>
    <n v="0"/>
    <n v="0"/>
    <n v="72321.149136383421"/>
  </r>
  <r>
    <x v="6"/>
    <d v="2020-08-05T00:00:00"/>
    <d v="2020-08-24T00:00:00"/>
    <x v="8"/>
    <n v="9"/>
    <n v="908"/>
    <n v="1093.1099999999999"/>
    <n v="1176.9000000000001"/>
    <n v="1068625.2000000002"/>
    <n v="992543.87999999989"/>
    <n v="76081.320000000298"/>
    <n v="2562.516426150788"/>
    <n v="78643.836426151087"/>
    <n v="0"/>
    <n v="0"/>
    <n v="0"/>
    <n v="78643.836426151087"/>
  </r>
  <r>
    <x v="7"/>
    <d v="2020-09-03T00:00:00"/>
    <d v="2020-09-24T00:00:00"/>
    <x v="8"/>
    <n v="9"/>
    <n v="905"/>
    <n v="1093.1099999999999"/>
    <n v="1176.9000000000001"/>
    <n v="1065094.5"/>
    <n v="989264.54999999993"/>
    <n v="75829.95000000007"/>
    <n v="2554.0499621877348"/>
    <n v="78383.999962187809"/>
    <n v="0"/>
    <n v="0"/>
    <n v="0"/>
    <n v="78383.999962187809"/>
  </r>
  <r>
    <x v="8"/>
    <d v="2020-10-05T00:00:00"/>
    <d v="2020-10-26T00:00:00"/>
    <x v="8"/>
    <n v="9"/>
    <n v="758"/>
    <n v="1093.1099999999999"/>
    <n v="1176.9000000000001"/>
    <n v="892090.20000000007"/>
    <n v="828577.37999999989"/>
    <n v="63512.820000000182"/>
    <n v="2139.1932279981247"/>
    <n v="65652.013227998308"/>
    <n v="0"/>
    <n v="0"/>
    <n v="0"/>
    <n v="65652.013227998308"/>
  </r>
  <r>
    <x v="9"/>
    <d v="2020-11-04T00:00:00"/>
    <d v="2020-11-24T00:00:00"/>
    <x v="8"/>
    <n v="9"/>
    <n v="713"/>
    <n v="1093.1099999999999"/>
    <n v="1176.9000000000001"/>
    <n v="839129.70000000007"/>
    <n v="779387.42999999993"/>
    <n v="59742.270000000135"/>
    <n v="2012.1962685523258"/>
    <n v="61754.46626855246"/>
    <n v="0"/>
    <n v="0"/>
    <n v="0"/>
    <n v="61754.46626855246"/>
  </r>
  <r>
    <x v="10"/>
    <d v="2020-12-03T00:00:00"/>
    <d v="2020-12-24T00:00:00"/>
    <x v="8"/>
    <n v="9"/>
    <n v="763"/>
    <n v="1093.1099999999999"/>
    <n v="1176.9000000000001"/>
    <n v="897974.70000000007"/>
    <n v="834042.92999999993"/>
    <n v="63931.770000000135"/>
    <n v="2153.3040012698802"/>
    <n v="66085.074001270012"/>
    <n v="0"/>
    <n v="0"/>
    <n v="0"/>
    <n v="66085.074001270012"/>
  </r>
  <r>
    <x v="11"/>
    <d v="2021-01-06T00:00:00"/>
    <d v="2021-01-25T00:00:00"/>
    <x v="8"/>
    <n v="9"/>
    <n v="988"/>
    <n v="1093.1099999999999"/>
    <n v="1176.9000000000001"/>
    <n v="1162777.2000000002"/>
    <n v="1079992.68"/>
    <n v="82784.520000000251"/>
    <n v="2788.2887984988747"/>
    <n v="85572.808798499129"/>
    <n v="0"/>
    <n v="0"/>
    <n v="0"/>
    <n v="85572.808798499129"/>
  </r>
  <r>
    <x v="0"/>
    <d v="2020-02-05T00:00:00"/>
    <d v="2020-02-24T00:00:00"/>
    <x v="9"/>
    <n v="9"/>
    <n v="6"/>
    <n v="1093.1099999999999"/>
    <n v="1176.9000000000001"/>
    <n v="7061.4000000000005"/>
    <n v="6558.66"/>
    <n v="502.74000000000069"/>
    <n v="16.932927926106526"/>
    <n v="519.67292792610726"/>
    <n v="0"/>
    <n v="0"/>
    <n v="0"/>
    <n v="519.67292792610726"/>
  </r>
  <r>
    <x v="1"/>
    <d v="2020-03-04T00:00:00"/>
    <d v="2020-03-24T00:00:00"/>
    <x v="9"/>
    <n v="9"/>
    <n v="5"/>
    <n v="1093.1099999999999"/>
    <n v="1176.9000000000001"/>
    <n v="5884.5"/>
    <n v="5465.5499999999993"/>
    <n v="418.95000000000073"/>
    <n v="14.110773271755441"/>
    <n v="433.06077327175615"/>
    <n v="0"/>
    <n v="0"/>
    <n v="0"/>
    <n v="433.06077327175615"/>
  </r>
  <r>
    <x v="2"/>
    <d v="2020-04-03T00:00:00"/>
    <d v="2020-04-24T00:00:00"/>
    <x v="9"/>
    <n v="9"/>
    <n v="4"/>
    <n v="1093.1099999999999"/>
    <n v="1176.9000000000001"/>
    <n v="4707.6000000000004"/>
    <n v="4372.4399999999996"/>
    <n v="335.16000000000076"/>
    <n v="11.288618617404351"/>
    <n v="346.44861861740509"/>
    <n v="0"/>
    <n v="0"/>
    <n v="0"/>
    <n v="346.44861861740509"/>
  </r>
  <r>
    <x v="3"/>
    <d v="2020-05-05T00:00:00"/>
    <d v="2020-05-25T00:00:00"/>
    <x v="9"/>
    <n v="9"/>
    <n v="7"/>
    <n v="1093.1099999999999"/>
    <n v="1176.9000000000001"/>
    <n v="8238.3000000000011"/>
    <n v="7651.7699999999995"/>
    <n v="586.53000000000156"/>
    <n v="19.755082580457614"/>
    <n v="606.28508258045918"/>
    <n v="0"/>
    <n v="0"/>
    <n v="0"/>
    <n v="606.28508258045918"/>
  </r>
  <r>
    <x v="4"/>
    <d v="2020-06-03T00:00:00"/>
    <d v="2020-06-24T00:00:00"/>
    <x v="9"/>
    <n v="9"/>
    <n v="11"/>
    <n v="1093.1099999999999"/>
    <n v="1176.9000000000001"/>
    <n v="12945.900000000001"/>
    <n v="12024.21"/>
    <n v="921.69000000000233"/>
    <n v="31.043701197861971"/>
    <n v="952.73370119786432"/>
    <n v="0"/>
    <n v="0"/>
    <n v="0"/>
    <n v="952.73370119786432"/>
  </r>
  <r>
    <x v="5"/>
    <d v="2020-07-03T00:00:00"/>
    <d v="2020-07-24T00:00:00"/>
    <x v="9"/>
    <n v="9"/>
    <n v="12"/>
    <n v="1093.1099999999999"/>
    <n v="1176.9000000000001"/>
    <n v="14122.800000000001"/>
    <n v="13117.32"/>
    <n v="1005.4800000000014"/>
    <n v="33.865855852213052"/>
    <n v="1039.3458558522145"/>
    <n v="0"/>
    <n v="0"/>
    <n v="0"/>
    <n v="1039.3458558522145"/>
  </r>
  <r>
    <x v="6"/>
    <d v="2020-08-05T00:00:00"/>
    <d v="2020-08-24T00:00:00"/>
    <x v="9"/>
    <n v="9"/>
    <n v="18"/>
    <n v="1093.1099999999999"/>
    <n v="1176.9000000000001"/>
    <n v="21184.2"/>
    <n v="19675.98"/>
    <n v="1508.2200000000012"/>
    <n v="50.798783778319589"/>
    <n v="1559.0187837783208"/>
    <n v="0"/>
    <n v="0"/>
    <n v="0"/>
    <n v="1559.0187837783208"/>
  </r>
  <r>
    <x v="7"/>
    <d v="2020-09-03T00:00:00"/>
    <d v="2020-09-24T00:00:00"/>
    <x v="9"/>
    <n v="9"/>
    <n v="16"/>
    <n v="1093.1099999999999"/>
    <n v="1176.9000000000001"/>
    <n v="18830.400000000001"/>
    <n v="17489.759999999998"/>
    <n v="1340.6400000000031"/>
    <n v="45.154474469617405"/>
    <n v="1385.7944744696204"/>
    <n v="0"/>
    <n v="0"/>
    <n v="0"/>
    <n v="1385.7944744696204"/>
  </r>
  <r>
    <x v="8"/>
    <d v="2020-10-05T00:00:00"/>
    <d v="2020-10-26T00:00:00"/>
    <x v="9"/>
    <n v="9"/>
    <n v="6"/>
    <n v="1093.1099999999999"/>
    <n v="1176.9000000000001"/>
    <n v="7061.4000000000005"/>
    <n v="6558.66"/>
    <n v="502.74000000000069"/>
    <n v="16.932927926106526"/>
    <n v="519.67292792610726"/>
    <n v="0"/>
    <n v="0"/>
    <n v="0"/>
    <n v="519.67292792610726"/>
  </r>
  <r>
    <x v="9"/>
    <d v="2020-11-04T00:00:00"/>
    <d v="2020-11-24T00:00:00"/>
    <x v="9"/>
    <n v="9"/>
    <n v="7"/>
    <n v="1093.1099999999999"/>
    <n v="1176.9000000000001"/>
    <n v="8238.3000000000011"/>
    <n v="7651.7699999999995"/>
    <n v="586.53000000000156"/>
    <n v="19.755082580457614"/>
    <n v="606.28508258045918"/>
    <n v="0"/>
    <n v="0"/>
    <n v="0"/>
    <n v="606.28508258045918"/>
  </r>
  <r>
    <x v="10"/>
    <d v="2020-12-03T00:00:00"/>
    <d v="2020-12-24T00:00:00"/>
    <x v="9"/>
    <n v="9"/>
    <n v="6"/>
    <n v="1093.1099999999999"/>
    <n v="1176.9000000000001"/>
    <n v="7061.4000000000005"/>
    <n v="6558.66"/>
    <n v="502.74000000000069"/>
    <n v="16.932927926106526"/>
    <n v="519.67292792610726"/>
    <n v="0"/>
    <n v="0"/>
    <n v="0"/>
    <n v="519.67292792610726"/>
  </r>
  <r>
    <x v="11"/>
    <d v="2021-01-06T00:00:00"/>
    <d v="2021-01-25T00:00:00"/>
    <x v="9"/>
    <n v="9"/>
    <n v="8"/>
    <n v="1093.1099999999999"/>
    <n v="1176.9000000000001"/>
    <n v="9415.2000000000007"/>
    <n v="8744.8799999999992"/>
    <n v="670.32000000000153"/>
    <n v="22.577237234808702"/>
    <n v="692.89723723481018"/>
    <n v="0"/>
    <n v="0"/>
    <n v="0"/>
    <n v="692.89723723481018"/>
  </r>
  <r>
    <x v="0"/>
    <d v="2020-02-05T00:00:00"/>
    <d v="2020-02-24T00:00:00"/>
    <x v="10"/>
    <n v="9"/>
    <n v="2"/>
    <n v="1093.1099999999999"/>
    <n v="1176.9000000000001"/>
    <n v="2353.8000000000002"/>
    <n v="2186.2199999999998"/>
    <n v="167.58000000000038"/>
    <n v="5.6443093087021756"/>
    <n v="173.22430930870254"/>
    <n v="0"/>
    <n v="0"/>
    <n v="0"/>
    <n v="173.22430930870254"/>
  </r>
  <r>
    <x v="1"/>
    <d v="2020-03-04T00:00:00"/>
    <d v="2020-03-24T00:00:00"/>
    <x v="10"/>
    <n v="9"/>
    <n v="3"/>
    <n v="1093.1099999999999"/>
    <n v="1176.9000000000001"/>
    <n v="3530.7000000000003"/>
    <n v="3279.33"/>
    <n v="251.37000000000035"/>
    <n v="8.466463963053263"/>
    <n v="259.83646396305363"/>
    <n v="0"/>
    <n v="0"/>
    <n v="0"/>
    <n v="259.83646396305363"/>
  </r>
  <r>
    <x v="2"/>
    <d v="2020-04-03T00:00:00"/>
    <d v="2020-04-24T00:00:00"/>
    <x v="10"/>
    <n v="9"/>
    <n v="1"/>
    <n v="1093.1099999999999"/>
    <n v="1176.9000000000001"/>
    <n v="1176.9000000000001"/>
    <n v="1093.1099999999999"/>
    <n v="83.790000000000191"/>
    <n v="2.8221546543510878"/>
    <n v="86.612154654351272"/>
    <n v="0"/>
    <n v="0"/>
    <n v="0"/>
    <n v="86.612154654351272"/>
  </r>
  <r>
    <x v="3"/>
    <d v="2020-05-05T00:00:00"/>
    <d v="2020-05-25T00:00:00"/>
    <x v="10"/>
    <n v="9"/>
    <n v="2"/>
    <n v="1093.1099999999999"/>
    <n v="1176.9000000000001"/>
    <n v="2353.8000000000002"/>
    <n v="2186.2199999999998"/>
    <n v="167.58000000000038"/>
    <n v="5.6443093087021756"/>
    <n v="173.22430930870254"/>
    <n v="0"/>
    <n v="0"/>
    <n v="0"/>
    <n v="173.22430930870254"/>
  </r>
  <r>
    <x v="4"/>
    <d v="2020-06-03T00:00:00"/>
    <d v="2020-06-24T00:00:00"/>
    <x v="10"/>
    <n v="9"/>
    <n v="2"/>
    <n v="1093.1099999999999"/>
    <n v="1176.9000000000001"/>
    <n v="2353.8000000000002"/>
    <n v="2186.2199999999998"/>
    <n v="167.58000000000038"/>
    <n v="5.6443093087021756"/>
    <n v="173.22430930870254"/>
    <n v="0"/>
    <n v="0"/>
    <n v="0"/>
    <n v="173.22430930870254"/>
  </r>
  <r>
    <x v="5"/>
    <d v="2020-07-03T00:00:00"/>
    <d v="2020-07-24T00:00:00"/>
    <x v="10"/>
    <n v="9"/>
    <n v="4"/>
    <n v="1093.1099999999999"/>
    <n v="1176.9000000000001"/>
    <n v="4707.6000000000004"/>
    <n v="4372.4399999999996"/>
    <n v="335.16000000000076"/>
    <n v="11.288618617404351"/>
    <n v="346.44861861740509"/>
    <n v="0"/>
    <n v="0"/>
    <n v="0"/>
    <n v="346.44861861740509"/>
  </r>
  <r>
    <x v="6"/>
    <d v="2020-08-05T00:00:00"/>
    <d v="2020-08-24T00:00:00"/>
    <x v="10"/>
    <n v="9"/>
    <n v="6"/>
    <n v="1093.1099999999999"/>
    <n v="1176.9000000000001"/>
    <n v="7061.4000000000005"/>
    <n v="6558.66"/>
    <n v="502.74000000000069"/>
    <n v="16.932927926106526"/>
    <n v="519.67292792610726"/>
    <n v="0"/>
    <n v="0"/>
    <n v="0"/>
    <n v="519.67292792610726"/>
  </r>
  <r>
    <x v="7"/>
    <d v="2020-09-03T00:00:00"/>
    <d v="2020-09-24T00:00:00"/>
    <x v="10"/>
    <n v="9"/>
    <n v="5"/>
    <n v="1093.1099999999999"/>
    <n v="1176.9000000000001"/>
    <n v="5884.5"/>
    <n v="5465.5499999999993"/>
    <n v="418.95000000000073"/>
    <n v="14.110773271755441"/>
    <n v="433.06077327175615"/>
    <n v="0"/>
    <n v="0"/>
    <n v="0"/>
    <n v="433.06077327175615"/>
  </r>
  <r>
    <x v="8"/>
    <d v="2020-10-05T00:00:00"/>
    <d v="2020-10-26T00:00:00"/>
    <x v="10"/>
    <n v="9"/>
    <n v="2"/>
    <n v="1093.1099999999999"/>
    <n v="1176.9000000000001"/>
    <n v="2353.8000000000002"/>
    <n v="2186.2199999999998"/>
    <n v="167.58000000000038"/>
    <n v="5.6443093087021756"/>
    <n v="173.22430930870254"/>
    <n v="0"/>
    <n v="0"/>
    <n v="0"/>
    <n v="173.22430930870254"/>
  </r>
  <r>
    <x v="9"/>
    <d v="2020-11-04T00:00:00"/>
    <d v="2020-11-24T00:00:00"/>
    <x v="10"/>
    <n v="9"/>
    <n v="1"/>
    <n v="1093.1099999999999"/>
    <n v="1176.9000000000001"/>
    <n v="1176.9000000000001"/>
    <n v="1093.1099999999999"/>
    <n v="83.790000000000191"/>
    <n v="2.8221546543510878"/>
    <n v="86.612154654351272"/>
    <n v="0"/>
    <n v="0"/>
    <n v="0"/>
    <n v="86.612154654351272"/>
  </r>
  <r>
    <x v="10"/>
    <d v="2020-12-03T00:00:00"/>
    <d v="2020-12-24T00:00:00"/>
    <x v="10"/>
    <n v="9"/>
    <n v="3"/>
    <n v="1093.1099999999999"/>
    <n v="1176.9000000000001"/>
    <n v="3530.7000000000003"/>
    <n v="3279.33"/>
    <n v="251.37000000000035"/>
    <n v="8.466463963053263"/>
    <n v="259.83646396305363"/>
    <n v="0"/>
    <n v="0"/>
    <n v="0"/>
    <n v="259.83646396305363"/>
  </r>
  <r>
    <x v="11"/>
    <d v="2021-01-06T00:00:00"/>
    <d v="2021-01-25T00:00:00"/>
    <x v="10"/>
    <n v="9"/>
    <n v="1"/>
    <n v="1093.1099999999999"/>
    <n v="1176.9000000000001"/>
    <n v="1176.9000000000001"/>
    <n v="1093.1099999999999"/>
    <n v="83.790000000000191"/>
    <n v="2.8221546543510878"/>
    <n v="86.612154654351272"/>
    <n v="0"/>
    <n v="0"/>
    <n v="0"/>
    <n v="86.612154654351272"/>
  </r>
  <r>
    <x v="0"/>
    <d v="2020-02-05T00:00:00"/>
    <d v="2020-02-24T00:00:00"/>
    <x v="11"/>
    <n v="9"/>
    <n v="109"/>
    <n v="1093.1099999999999"/>
    <n v="1176.9000000000001"/>
    <n v="128282.1"/>
    <n v="119148.98999999999"/>
    <n v="9133.1100000000151"/>
    <n v="307.6148573242686"/>
    <n v="9440.7248573242832"/>
    <n v="0"/>
    <n v="0"/>
    <n v="0"/>
    <n v="9440.7248573242832"/>
  </r>
  <r>
    <x v="1"/>
    <d v="2020-03-04T00:00:00"/>
    <d v="2020-03-24T00:00:00"/>
    <x v="11"/>
    <n v="9"/>
    <n v="104"/>
    <n v="1093.1099999999999"/>
    <n v="1176.9000000000001"/>
    <n v="122397.6"/>
    <n v="113683.43999999999"/>
    <n v="8714.160000000018"/>
    <n v="293.50408405251318"/>
    <n v="9007.6640840525306"/>
    <n v="0"/>
    <n v="0"/>
    <n v="0"/>
    <n v="9007.6640840525306"/>
  </r>
  <r>
    <x v="2"/>
    <d v="2020-04-03T00:00:00"/>
    <d v="2020-04-24T00:00:00"/>
    <x v="11"/>
    <n v="9"/>
    <n v="87"/>
    <n v="1093.1099999999999"/>
    <n v="1176.9000000000001"/>
    <n v="102390.3"/>
    <n v="95100.569999999992"/>
    <n v="7289.7300000000105"/>
    <n v="245.52745492854467"/>
    <n v="7535.2574549285555"/>
    <n v="0"/>
    <n v="0"/>
    <n v="0"/>
    <n v="7535.2574549285555"/>
  </r>
  <r>
    <x v="3"/>
    <d v="2020-05-05T00:00:00"/>
    <d v="2020-05-25T00:00:00"/>
    <x v="11"/>
    <n v="9"/>
    <n v="102"/>
    <n v="1093.1099999999999"/>
    <n v="1176.9000000000001"/>
    <n v="120043.8"/>
    <n v="111497.21999999999"/>
    <n v="8546.5800000000163"/>
    <n v="287.85977474381099"/>
    <n v="8834.439774743827"/>
    <n v="0"/>
    <n v="0"/>
    <n v="0"/>
    <n v="8834.439774743827"/>
  </r>
  <r>
    <x v="4"/>
    <d v="2020-06-03T00:00:00"/>
    <d v="2020-06-24T00:00:00"/>
    <x v="11"/>
    <n v="9"/>
    <n v="92"/>
    <n v="1093.1099999999999"/>
    <n v="1176.9000000000001"/>
    <n v="108274.8"/>
    <n v="100566.12"/>
    <n v="7708.6800000000076"/>
    <n v="259.63822820030009"/>
    <n v="7968.3182282003072"/>
    <n v="0"/>
    <n v="0"/>
    <n v="0"/>
    <n v="7968.3182282003072"/>
  </r>
  <r>
    <x v="5"/>
    <d v="2020-07-03T00:00:00"/>
    <d v="2020-07-24T00:00:00"/>
    <x v="11"/>
    <n v="9"/>
    <n v="143"/>
    <n v="1093.1099999999999"/>
    <n v="1176.9000000000001"/>
    <n v="168296.7"/>
    <n v="156314.72999999998"/>
    <n v="11981.97000000003"/>
    <n v="403.56811557220561"/>
    <n v="12385.538115572235"/>
    <n v="0"/>
    <n v="0"/>
    <n v="0"/>
    <n v="12385.538115572235"/>
  </r>
  <r>
    <x v="6"/>
    <d v="2020-08-05T00:00:00"/>
    <d v="2020-08-24T00:00:00"/>
    <x v="11"/>
    <n v="9"/>
    <n v="138"/>
    <n v="1093.1099999999999"/>
    <n v="1176.9000000000001"/>
    <n v="162412.20000000001"/>
    <n v="150849.18"/>
    <n v="11563.020000000019"/>
    <n v="389.45734230045014"/>
    <n v="11952.477342300468"/>
    <n v="0"/>
    <n v="0"/>
    <n v="0"/>
    <n v="11952.477342300468"/>
  </r>
  <r>
    <x v="7"/>
    <d v="2020-09-03T00:00:00"/>
    <d v="2020-09-24T00:00:00"/>
    <x v="11"/>
    <n v="9"/>
    <n v="152"/>
    <n v="1093.1099999999999"/>
    <n v="1176.9000000000001"/>
    <n v="178888.80000000002"/>
    <n v="166152.71999999997"/>
    <n v="12736.080000000045"/>
    <n v="428.96750746136541"/>
    <n v="13165.047507461411"/>
    <n v="0"/>
    <n v="0"/>
    <n v="0"/>
    <n v="13165.047507461411"/>
  </r>
  <r>
    <x v="8"/>
    <d v="2020-10-05T00:00:00"/>
    <d v="2020-10-26T00:00:00"/>
    <x v="11"/>
    <n v="9"/>
    <n v="136"/>
    <n v="1093.1099999999999"/>
    <n v="1176.9000000000001"/>
    <n v="160058.40000000002"/>
    <n v="148662.96"/>
    <n v="11395.440000000031"/>
    <n v="383.813032991748"/>
    <n v="11779.253032991779"/>
    <n v="0"/>
    <n v="0"/>
    <n v="0"/>
    <n v="11779.253032991779"/>
  </r>
  <r>
    <x v="9"/>
    <d v="2020-11-04T00:00:00"/>
    <d v="2020-11-24T00:00:00"/>
    <x v="11"/>
    <n v="9"/>
    <n v="107"/>
    <n v="1093.1099999999999"/>
    <n v="1176.9000000000001"/>
    <n v="125928.3"/>
    <n v="116962.76999999999"/>
    <n v="8965.5300000000134"/>
    <n v="301.97054801556646"/>
    <n v="9267.5005480155796"/>
    <n v="0"/>
    <n v="0"/>
    <n v="0"/>
    <n v="9267.5005480155796"/>
  </r>
  <r>
    <x v="10"/>
    <d v="2020-12-03T00:00:00"/>
    <d v="2020-12-24T00:00:00"/>
    <x v="11"/>
    <n v="9"/>
    <n v="95"/>
    <n v="1093.1099999999999"/>
    <n v="1176.9000000000001"/>
    <n v="111805.50000000001"/>
    <n v="103845.45"/>
    <n v="7960.0500000000175"/>
    <n v="268.10469216335332"/>
    <n v="8228.1546921633708"/>
    <n v="0"/>
    <n v="0"/>
    <n v="0"/>
    <n v="8228.1546921633708"/>
  </r>
  <r>
    <x v="11"/>
    <d v="2021-01-06T00:00:00"/>
    <d v="2021-01-25T00:00:00"/>
    <x v="11"/>
    <n v="9"/>
    <n v="99"/>
    <n v="1093.1099999999999"/>
    <n v="1176.9000000000001"/>
    <n v="116513.1"/>
    <n v="108217.88999999998"/>
    <n v="8295.210000000021"/>
    <n v="279.3933107807577"/>
    <n v="8574.603310780778"/>
    <n v="0"/>
    <n v="0"/>
    <n v="0"/>
    <n v="8574.603310780778"/>
  </r>
  <r>
    <x v="0"/>
    <d v="2020-02-05T00:00:00"/>
    <d v="2020-02-24T00:00:00"/>
    <x v="12"/>
    <n v="9"/>
    <n v="11"/>
    <n v="1093.1099999999999"/>
    <n v="1176.9000000000001"/>
    <n v="12945.900000000001"/>
    <n v="12024.21"/>
    <n v="921.69000000000233"/>
    <n v="31.043701197861971"/>
    <n v="952.73370119786432"/>
    <n v="0"/>
    <n v="0"/>
    <n v="0"/>
    <n v="952.73370119786432"/>
  </r>
  <r>
    <x v="1"/>
    <d v="2020-03-04T00:00:00"/>
    <d v="2020-03-24T00:00:00"/>
    <x v="12"/>
    <n v="9"/>
    <n v="10"/>
    <n v="1093.1099999999999"/>
    <n v="1176.9000000000001"/>
    <n v="11769"/>
    <n v="10931.099999999999"/>
    <n v="837.90000000000146"/>
    <n v="28.221546543510883"/>
    <n v="866.1215465435123"/>
    <n v="0"/>
    <n v="0"/>
    <n v="0"/>
    <n v="866.1215465435123"/>
  </r>
  <r>
    <x v="2"/>
    <d v="2020-04-03T00:00:00"/>
    <d v="2020-04-24T00:00:00"/>
    <x v="12"/>
    <n v="9"/>
    <n v="10"/>
    <n v="1093.1099999999999"/>
    <n v="1176.9000000000001"/>
    <n v="11769"/>
    <n v="10931.099999999999"/>
    <n v="837.90000000000146"/>
    <n v="28.221546543510883"/>
    <n v="866.1215465435123"/>
    <n v="0"/>
    <n v="0"/>
    <n v="0"/>
    <n v="866.1215465435123"/>
  </r>
  <r>
    <x v="3"/>
    <d v="2020-05-05T00:00:00"/>
    <d v="2020-05-25T00:00:00"/>
    <x v="12"/>
    <n v="9"/>
    <n v="7"/>
    <n v="1093.1099999999999"/>
    <n v="1176.9000000000001"/>
    <n v="8238.3000000000011"/>
    <n v="7651.7699999999995"/>
    <n v="586.53000000000156"/>
    <n v="19.755082580457614"/>
    <n v="606.28508258045918"/>
    <n v="0"/>
    <n v="0"/>
    <n v="0"/>
    <n v="606.28508258045918"/>
  </r>
  <r>
    <x v="4"/>
    <d v="2020-06-03T00:00:00"/>
    <d v="2020-06-24T00:00:00"/>
    <x v="12"/>
    <n v="9"/>
    <n v="13"/>
    <n v="1093.1099999999999"/>
    <n v="1176.9000000000001"/>
    <n v="15299.7"/>
    <n v="14210.429999999998"/>
    <n v="1089.2700000000023"/>
    <n v="36.688010506564147"/>
    <n v="1125.9580105065663"/>
    <n v="0"/>
    <n v="0"/>
    <n v="0"/>
    <n v="1125.9580105065663"/>
  </r>
  <r>
    <x v="5"/>
    <d v="2020-07-03T00:00:00"/>
    <d v="2020-07-24T00:00:00"/>
    <x v="12"/>
    <n v="9"/>
    <n v="12"/>
    <n v="1093.1099999999999"/>
    <n v="1176.9000000000001"/>
    <n v="14122.800000000001"/>
    <n v="13117.32"/>
    <n v="1005.4800000000014"/>
    <n v="33.865855852213052"/>
    <n v="1039.3458558522145"/>
    <n v="0"/>
    <n v="0"/>
    <n v="0"/>
    <n v="1039.3458558522145"/>
  </r>
  <r>
    <x v="6"/>
    <d v="2020-08-05T00:00:00"/>
    <d v="2020-08-24T00:00:00"/>
    <x v="12"/>
    <n v="9"/>
    <n v="15"/>
    <n v="1093.1099999999999"/>
    <n v="1176.9000000000001"/>
    <n v="17653.5"/>
    <n v="16396.649999999998"/>
    <n v="1256.8500000000022"/>
    <n v="42.332319815266324"/>
    <n v="1299.1823198152686"/>
    <n v="0"/>
    <n v="0"/>
    <n v="0"/>
    <n v="1299.1823198152686"/>
  </r>
  <r>
    <x v="7"/>
    <d v="2020-09-03T00:00:00"/>
    <d v="2020-09-24T00:00:00"/>
    <x v="12"/>
    <n v="9"/>
    <n v="12"/>
    <n v="1093.1099999999999"/>
    <n v="1176.9000000000001"/>
    <n v="14122.800000000001"/>
    <n v="13117.32"/>
    <n v="1005.4800000000014"/>
    <n v="33.865855852213052"/>
    <n v="1039.3458558522145"/>
    <n v="0"/>
    <n v="0"/>
    <n v="0"/>
    <n v="1039.3458558522145"/>
  </r>
  <r>
    <x v="8"/>
    <d v="2020-10-05T00:00:00"/>
    <d v="2020-10-26T00:00:00"/>
    <x v="12"/>
    <n v="9"/>
    <n v="14"/>
    <n v="1093.1099999999999"/>
    <n v="1176.9000000000001"/>
    <n v="16476.600000000002"/>
    <n v="15303.539999999999"/>
    <n v="1173.0600000000031"/>
    <n v="39.510165160915228"/>
    <n v="1212.5701651609184"/>
    <n v="0"/>
    <n v="0"/>
    <n v="0"/>
    <n v="1212.5701651609184"/>
  </r>
  <r>
    <x v="9"/>
    <d v="2020-11-04T00:00:00"/>
    <d v="2020-11-24T00:00:00"/>
    <x v="12"/>
    <n v="9"/>
    <n v="11"/>
    <n v="1093.1099999999999"/>
    <n v="1176.9000000000001"/>
    <n v="12945.900000000001"/>
    <n v="12024.21"/>
    <n v="921.69000000000233"/>
    <n v="31.043701197861971"/>
    <n v="952.73370119786432"/>
    <n v="0"/>
    <n v="0"/>
    <n v="0"/>
    <n v="952.73370119786432"/>
  </r>
  <r>
    <x v="10"/>
    <d v="2020-12-03T00:00:00"/>
    <d v="2020-12-24T00:00:00"/>
    <x v="12"/>
    <n v="9"/>
    <n v="9"/>
    <n v="1093.1099999999999"/>
    <n v="1176.9000000000001"/>
    <n v="10592.1"/>
    <n v="9837.99"/>
    <n v="754.11000000000058"/>
    <n v="25.399391889159794"/>
    <n v="779.50939188916038"/>
    <n v="0"/>
    <n v="0"/>
    <n v="0"/>
    <n v="779.50939188916038"/>
  </r>
  <r>
    <x v="11"/>
    <d v="2021-01-06T00:00:00"/>
    <d v="2021-01-25T00:00:00"/>
    <x v="12"/>
    <n v="9"/>
    <n v="8"/>
    <n v="1093.1099999999999"/>
    <n v="1176.9000000000001"/>
    <n v="9415.2000000000007"/>
    <n v="8744.8799999999992"/>
    <n v="670.32000000000153"/>
    <n v="22.577237234808702"/>
    <n v="692.89723723481018"/>
    <n v="0"/>
    <n v="0"/>
    <n v="0"/>
    <n v="692.89723723481018"/>
  </r>
  <r>
    <x v="0"/>
    <d v="2020-02-05T00:00:00"/>
    <d v="2020-02-24T00:00:00"/>
    <x v="13"/>
    <n v="9"/>
    <n v="20"/>
    <n v="1093.1099999999999"/>
    <n v="1176.9000000000001"/>
    <n v="23538"/>
    <n v="21862.199999999997"/>
    <n v="1675.8000000000029"/>
    <n v="56.443093087021765"/>
    <n v="1732.2430930870246"/>
    <n v="0"/>
    <n v="0"/>
    <n v="0"/>
    <n v="1732.2430930870246"/>
  </r>
  <r>
    <x v="1"/>
    <d v="2020-03-04T00:00:00"/>
    <d v="2020-03-24T00:00:00"/>
    <x v="13"/>
    <n v="9"/>
    <n v="19"/>
    <n v="1093.1099999999999"/>
    <n v="1176.9000000000001"/>
    <n v="22361.100000000002"/>
    <n v="20769.089999999997"/>
    <n v="1592.0100000000057"/>
    <n v="53.620938432670677"/>
    <n v="1645.6309384326764"/>
    <n v="0"/>
    <n v="0"/>
    <n v="0"/>
    <n v="1645.6309384326764"/>
  </r>
  <r>
    <x v="2"/>
    <d v="2020-04-03T00:00:00"/>
    <d v="2020-04-24T00:00:00"/>
    <x v="13"/>
    <n v="9"/>
    <n v="19"/>
    <n v="1093.1099999999999"/>
    <n v="1176.9000000000001"/>
    <n v="22361.100000000002"/>
    <n v="20769.089999999997"/>
    <n v="1592.0100000000057"/>
    <n v="53.620938432670677"/>
    <n v="1645.6309384326764"/>
    <n v="0"/>
    <n v="0"/>
    <n v="0"/>
    <n v="1645.6309384326764"/>
  </r>
  <r>
    <x v="3"/>
    <d v="2020-05-05T00:00:00"/>
    <d v="2020-05-25T00:00:00"/>
    <x v="13"/>
    <n v="9"/>
    <n v="21"/>
    <n v="1093.1099999999999"/>
    <n v="1176.9000000000001"/>
    <n v="24714.9"/>
    <n v="22955.309999999998"/>
    <n v="1759.5900000000038"/>
    <n v="59.265247741372846"/>
    <n v="1818.8552477413766"/>
    <n v="0"/>
    <n v="0"/>
    <n v="0"/>
    <n v="1818.8552477413766"/>
  </r>
  <r>
    <x v="4"/>
    <d v="2020-06-03T00:00:00"/>
    <d v="2020-06-24T00:00:00"/>
    <x v="13"/>
    <n v="9"/>
    <n v="23"/>
    <n v="1093.1099999999999"/>
    <n v="1176.9000000000001"/>
    <n v="27068.7"/>
    <n v="25141.53"/>
    <n v="1927.1700000000019"/>
    <n v="64.909557050075023"/>
    <n v="1992.0795570500768"/>
    <n v="0"/>
    <n v="0"/>
    <n v="0"/>
    <n v="1992.0795570500768"/>
  </r>
  <r>
    <x v="5"/>
    <d v="2020-07-03T00:00:00"/>
    <d v="2020-07-24T00:00:00"/>
    <x v="13"/>
    <n v="9"/>
    <n v="29"/>
    <n v="1093.1099999999999"/>
    <n v="1176.9000000000001"/>
    <n v="34130.100000000006"/>
    <n v="31700.19"/>
    <n v="2429.9100000000071"/>
    <n v="81.842484976181552"/>
    <n v="2511.7524849761885"/>
    <n v="0"/>
    <n v="0"/>
    <n v="0"/>
    <n v="2511.7524849761885"/>
  </r>
  <r>
    <x v="6"/>
    <d v="2020-08-05T00:00:00"/>
    <d v="2020-08-24T00:00:00"/>
    <x v="13"/>
    <n v="9"/>
    <n v="33"/>
    <n v="1093.1099999999999"/>
    <n v="1176.9000000000001"/>
    <n v="38837.700000000004"/>
    <n v="36072.629999999997"/>
    <n v="2765.070000000007"/>
    <n v="93.131103593585905"/>
    <n v="2858.201103593593"/>
    <n v="0"/>
    <n v="0"/>
    <n v="0"/>
    <n v="2858.201103593593"/>
  </r>
  <r>
    <x v="7"/>
    <d v="2020-09-03T00:00:00"/>
    <d v="2020-09-24T00:00:00"/>
    <x v="13"/>
    <n v="9"/>
    <n v="34"/>
    <n v="1093.1099999999999"/>
    <n v="1176.9000000000001"/>
    <n v="40014.600000000006"/>
    <n v="37165.74"/>
    <n v="2848.8600000000079"/>
    <n v="95.953258247937001"/>
    <n v="2944.8132582479448"/>
    <n v="0"/>
    <n v="0"/>
    <n v="0"/>
    <n v="2944.8132582479448"/>
  </r>
  <r>
    <x v="8"/>
    <d v="2020-10-05T00:00:00"/>
    <d v="2020-10-26T00:00:00"/>
    <x v="13"/>
    <n v="9"/>
    <n v="30"/>
    <n v="1093.1099999999999"/>
    <n v="1176.9000000000001"/>
    <n v="35307"/>
    <n v="32793.299999999996"/>
    <n v="2513.7000000000044"/>
    <n v="84.664639630532648"/>
    <n v="2598.3646396305371"/>
    <n v="0"/>
    <n v="0"/>
    <n v="0"/>
    <n v="2598.3646396305371"/>
  </r>
  <r>
    <x v="9"/>
    <d v="2020-11-04T00:00:00"/>
    <d v="2020-11-24T00:00:00"/>
    <x v="13"/>
    <n v="9"/>
    <n v="21"/>
    <n v="1093.1099999999999"/>
    <n v="1176.9000000000001"/>
    <n v="24714.9"/>
    <n v="22955.309999999998"/>
    <n v="1759.5900000000038"/>
    <n v="59.265247741372846"/>
    <n v="1818.8552477413766"/>
    <n v="0"/>
    <n v="0"/>
    <n v="0"/>
    <n v="1818.8552477413766"/>
  </r>
  <r>
    <x v="10"/>
    <d v="2020-12-03T00:00:00"/>
    <d v="2020-12-24T00:00:00"/>
    <x v="13"/>
    <n v="9"/>
    <n v="16"/>
    <n v="1093.1099999999999"/>
    <n v="1176.9000000000001"/>
    <n v="18830.400000000001"/>
    <n v="17489.759999999998"/>
    <n v="1340.6400000000031"/>
    <n v="45.154474469617405"/>
    <n v="1385.7944744696204"/>
    <n v="0"/>
    <n v="0"/>
    <n v="0"/>
    <n v="1385.7944744696204"/>
  </r>
  <r>
    <x v="11"/>
    <d v="2021-01-06T00:00:00"/>
    <d v="2021-01-25T00:00:00"/>
    <x v="13"/>
    <n v="9"/>
    <n v="19"/>
    <n v="1093.1099999999999"/>
    <n v="1176.9000000000001"/>
    <n v="22361.100000000002"/>
    <n v="20769.089999999997"/>
    <n v="1592.0100000000057"/>
    <n v="53.620938432670677"/>
    <n v="1645.6309384326764"/>
    <n v="0"/>
    <n v="0"/>
    <n v="0"/>
    <n v="1645.6309384326764"/>
  </r>
  <r>
    <x v="0"/>
    <d v="2020-02-05T00:00:00"/>
    <d v="2020-02-24T00:00:00"/>
    <x v="14"/>
    <n v="9"/>
    <n v="35"/>
    <n v="1093.1099999999999"/>
    <n v="1176.9000000000001"/>
    <n v="41191.5"/>
    <n v="38258.85"/>
    <n v="2932.6500000000015"/>
    <n v="98.775412902288082"/>
    <n v="3031.4254129022897"/>
    <n v="0"/>
    <n v="0"/>
    <n v="0"/>
    <n v="3031.4254129022897"/>
  </r>
  <r>
    <x v="1"/>
    <d v="2020-03-04T00:00:00"/>
    <d v="2020-03-24T00:00:00"/>
    <x v="14"/>
    <n v="9"/>
    <n v="34"/>
    <n v="1093.1099999999999"/>
    <n v="1176.9000000000001"/>
    <n v="40014.600000000006"/>
    <n v="37165.74"/>
    <n v="2848.8600000000079"/>
    <n v="95.953258247937001"/>
    <n v="2944.8132582479448"/>
    <n v="0"/>
    <n v="0"/>
    <n v="0"/>
    <n v="2944.8132582479448"/>
  </r>
  <r>
    <x v="2"/>
    <d v="2020-04-03T00:00:00"/>
    <d v="2020-04-24T00:00:00"/>
    <x v="14"/>
    <n v="9"/>
    <n v="30"/>
    <n v="1093.1099999999999"/>
    <n v="1176.9000000000001"/>
    <n v="35307"/>
    <n v="32793.299999999996"/>
    <n v="2513.7000000000044"/>
    <n v="84.664639630532648"/>
    <n v="2598.3646396305371"/>
    <n v="0"/>
    <n v="0"/>
    <n v="0"/>
    <n v="2598.3646396305371"/>
  </r>
  <r>
    <x v="3"/>
    <d v="2020-05-05T00:00:00"/>
    <d v="2020-05-25T00:00:00"/>
    <x v="14"/>
    <n v="9"/>
    <n v="32"/>
    <n v="1093.1099999999999"/>
    <n v="1176.9000000000001"/>
    <n v="37660.800000000003"/>
    <n v="34979.519999999997"/>
    <n v="2681.2800000000061"/>
    <n v="90.30894893923481"/>
    <n v="2771.5889489392407"/>
    <n v="0"/>
    <n v="0"/>
    <n v="0"/>
    <n v="2771.5889489392407"/>
  </r>
  <r>
    <x v="4"/>
    <d v="2020-06-03T00:00:00"/>
    <d v="2020-06-24T00:00:00"/>
    <x v="14"/>
    <n v="9"/>
    <n v="36"/>
    <n v="1093.1099999999999"/>
    <n v="1176.9000000000001"/>
    <n v="42368.4"/>
    <n v="39351.96"/>
    <n v="3016.4400000000023"/>
    <n v="101.59756755663918"/>
    <n v="3118.0375675566415"/>
    <n v="0"/>
    <n v="0"/>
    <n v="0"/>
    <n v="3118.0375675566415"/>
  </r>
  <r>
    <x v="5"/>
    <d v="2020-07-03T00:00:00"/>
    <d v="2020-07-24T00:00:00"/>
    <x v="14"/>
    <n v="9"/>
    <n v="42"/>
    <n v="1093.1099999999999"/>
    <n v="1176.9000000000001"/>
    <n v="49429.8"/>
    <n v="45910.619999999995"/>
    <n v="3519.1800000000076"/>
    <n v="118.53049548274569"/>
    <n v="3637.7104954827532"/>
    <n v="0"/>
    <n v="0"/>
    <n v="0"/>
    <n v="3637.7104954827532"/>
  </r>
  <r>
    <x v="6"/>
    <d v="2020-08-05T00:00:00"/>
    <d v="2020-08-24T00:00:00"/>
    <x v="14"/>
    <n v="9"/>
    <n v="47"/>
    <n v="1093.1099999999999"/>
    <n v="1176.9000000000001"/>
    <n v="55314.3"/>
    <n v="51376.17"/>
    <n v="3938.1300000000047"/>
    <n v="132.64126875450114"/>
    <n v="4070.7712687545059"/>
    <n v="0"/>
    <n v="0"/>
    <n v="0"/>
    <n v="4070.7712687545059"/>
  </r>
  <r>
    <x v="7"/>
    <d v="2020-09-03T00:00:00"/>
    <d v="2020-09-24T00:00:00"/>
    <x v="14"/>
    <n v="9"/>
    <n v="48"/>
    <n v="1093.1099999999999"/>
    <n v="1176.9000000000001"/>
    <n v="56491.200000000004"/>
    <n v="52469.279999999999"/>
    <n v="4021.9200000000055"/>
    <n v="135.46342340885221"/>
    <n v="4157.3834234088581"/>
    <n v="0"/>
    <n v="0"/>
    <n v="0"/>
    <n v="4157.3834234088581"/>
  </r>
  <r>
    <x v="8"/>
    <d v="2020-10-05T00:00:00"/>
    <d v="2020-10-26T00:00:00"/>
    <x v="14"/>
    <n v="9"/>
    <n v="44"/>
    <n v="1093.1099999999999"/>
    <n v="1176.9000000000001"/>
    <n v="51783.600000000006"/>
    <n v="48096.84"/>
    <n v="3686.7600000000093"/>
    <n v="124.17480479144788"/>
    <n v="3810.9348047914573"/>
    <n v="0"/>
    <n v="0"/>
    <n v="0"/>
    <n v="3810.9348047914573"/>
  </r>
  <r>
    <x v="9"/>
    <d v="2020-11-04T00:00:00"/>
    <d v="2020-11-24T00:00:00"/>
    <x v="14"/>
    <n v="9"/>
    <n v="30"/>
    <n v="1093.1099999999999"/>
    <n v="1176.9000000000001"/>
    <n v="35307"/>
    <n v="32793.299999999996"/>
    <n v="2513.7000000000044"/>
    <n v="84.664639630532648"/>
    <n v="2598.3646396305371"/>
    <n v="0"/>
    <n v="0"/>
    <n v="0"/>
    <n v="2598.3646396305371"/>
  </r>
  <r>
    <x v="10"/>
    <d v="2020-12-03T00:00:00"/>
    <d v="2020-12-24T00:00:00"/>
    <x v="14"/>
    <n v="9"/>
    <n v="31"/>
    <n v="1093.1099999999999"/>
    <n v="1176.9000000000001"/>
    <n v="36483.9"/>
    <n v="33886.409999999996"/>
    <n v="2597.4900000000052"/>
    <n v="87.486794284883729"/>
    <n v="2684.9767942848889"/>
    <n v="0"/>
    <n v="0"/>
    <n v="0"/>
    <n v="2684.9767942848889"/>
  </r>
  <r>
    <x v="11"/>
    <d v="2021-01-06T00:00:00"/>
    <d v="2021-01-25T00:00:00"/>
    <x v="14"/>
    <n v="9"/>
    <n v="34"/>
    <n v="1093.1099999999999"/>
    <n v="1176.9000000000001"/>
    <n v="40014.600000000006"/>
    <n v="37165.74"/>
    <n v="2848.8600000000079"/>
    <n v="95.953258247937001"/>
    <n v="2944.8132582479448"/>
    <n v="0"/>
    <n v="0"/>
    <n v="0"/>
    <n v="2944.8132582479448"/>
  </r>
  <r>
    <x v="0"/>
    <d v="2020-02-05T00:00:00"/>
    <d v="2020-02-24T00:00:00"/>
    <x v="15"/>
    <n v="9"/>
    <n v="106"/>
    <n v="1093.1099999999999"/>
    <n v="1176.9000000000001"/>
    <n v="124751.40000000001"/>
    <n v="115869.65999999999"/>
    <n v="8881.7400000000198"/>
    <n v="299.14839336121537"/>
    <n v="9180.888393361236"/>
    <n v="0"/>
    <n v="0"/>
    <n v="0"/>
    <n v="9180.888393361236"/>
  </r>
  <r>
    <x v="1"/>
    <d v="2020-03-04T00:00:00"/>
    <d v="2020-03-24T00:00:00"/>
    <x v="15"/>
    <n v="9"/>
    <n v="103"/>
    <n v="1093.1099999999999"/>
    <n v="1176.9000000000001"/>
    <n v="121220.70000000001"/>
    <n v="112590.32999999999"/>
    <n v="8630.3700000000244"/>
    <n v="290.68192939816208"/>
    <n v="8921.051929398187"/>
    <n v="0"/>
    <n v="0"/>
    <n v="0"/>
    <n v="8921.051929398187"/>
  </r>
  <r>
    <x v="2"/>
    <d v="2020-04-03T00:00:00"/>
    <d v="2020-04-24T00:00:00"/>
    <x v="15"/>
    <n v="9"/>
    <n v="26"/>
    <n v="1093.1099999999999"/>
    <n v="1176.9000000000001"/>
    <n v="30599.4"/>
    <n v="28420.859999999997"/>
    <n v="2178.5400000000045"/>
    <n v="73.376021013128295"/>
    <n v="2251.9160210131326"/>
    <n v="0"/>
    <n v="0"/>
    <n v="0"/>
    <n v="2251.9160210131326"/>
  </r>
  <r>
    <x v="3"/>
    <d v="2020-05-05T00:00:00"/>
    <d v="2020-05-25T00:00:00"/>
    <x v="15"/>
    <n v="9"/>
    <n v="97"/>
    <n v="1093.1099999999999"/>
    <n v="1176.9000000000001"/>
    <n v="114159.3"/>
    <n v="106031.66999999998"/>
    <n v="8127.6300000000192"/>
    <n v="273.74900147205551"/>
    <n v="8401.3790014720744"/>
    <n v="0"/>
    <n v="0"/>
    <n v="0"/>
    <n v="8401.3790014720744"/>
  </r>
  <r>
    <x v="4"/>
    <d v="2020-06-03T00:00:00"/>
    <d v="2020-06-24T00:00:00"/>
    <x v="15"/>
    <n v="9"/>
    <n v="80"/>
    <n v="1093.1099999999999"/>
    <n v="1176.9000000000001"/>
    <n v="94152"/>
    <n v="87448.799999999988"/>
    <n v="6703.2000000000116"/>
    <n v="225.77237234808706"/>
    <n v="6928.9723723480984"/>
    <n v="0"/>
    <n v="0"/>
    <n v="0"/>
    <n v="6928.9723723480984"/>
  </r>
  <r>
    <x v="5"/>
    <d v="2020-07-03T00:00:00"/>
    <d v="2020-07-24T00:00:00"/>
    <x v="15"/>
    <n v="9"/>
    <n v="99"/>
    <n v="1093.1099999999999"/>
    <n v="1176.9000000000001"/>
    <n v="116513.1"/>
    <n v="108217.88999999998"/>
    <n v="8295.210000000021"/>
    <n v="279.3933107807577"/>
    <n v="8574.603310780778"/>
    <n v="0"/>
    <n v="0"/>
    <n v="0"/>
    <n v="8574.603310780778"/>
  </r>
  <r>
    <x v="6"/>
    <d v="2020-08-05T00:00:00"/>
    <d v="2020-08-24T00:00:00"/>
    <x v="15"/>
    <n v="9"/>
    <n v="111"/>
    <n v="1093.1099999999999"/>
    <n v="1176.9000000000001"/>
    <n v="130635.90000000001"/>
    <n v="121335.20999999999"/>
    <n v="9300.6900000000169"/>
    <n v="313.25916663297073"/>
    <n v="9613.9491666329868"/>
    <n v="0"/>
    <n v="0"/>
    <n v="0"/>
    <n v="9613.9491666329868"/>
  </r>
  <r>
    <x v="7"/>
    <d v="2020-09-03T00:00:00"/>
    <d v="2020-09-24T00:00:00"/>
    <x v="15"/>
    <n v="9"/>
    <n v="112"/>
    <n v="1093.1099999999999"/>
    <n v="1176.9000000000001"/>
    <n v="131812.80000000002"/>
    <n v="122428.31999999999"/>
    <n v="9384.480000000025"/>
    <n v="316.08132128732183"/>
    <n v="9700.5613212873468"/>
    <n v="0"/>
    <n v="0"/>
    <n v="0"/>
    <n v="9700.5613212873468"/>
  </r>
  <r>
    <x v="8"/>
    <d v="2020-10-05T00:00:00"/>
    <d v="2020-10-26T00:00:00"/>
    <x v="15"/>
    <n v="9"/>
    <n v="114"/>
    <n v="1093.1099999999999"/>
    <n v="1176.9000000000001"/>
    <n v="134166.6"/>
    <n v="124614.54"/>
    <n v="9552.0600000000122"/>
    <n v="321.72563059602402"/>
    <n v="9873.7856305960358"/>
    <n v="0"/>
    <n v="0"/>
    <n v="0"/>
    <n v="9873.7856305960358"/>
  </r>
  <r>
    <x v="9"/>
    <d v="2020-11-04T00:00:00"/>
    <d v="2020-11-24T00:00:00"/>
    <x v="15"/>
    <n v="9"/>
    <n v="96"/>
    <n v="1093.1099999999999"/>
    <n v="1176.9000000000001"/>
    <n v="112982.40000000001"/>
    <n v="104938.56"/>
    <n v="8043.8400000000111"/>
    <n v="270.92684681770442"/>
    <n v="8314.7668468177162"/>
    <n v="0"/>
    <n v="0"/>
    <n v="0"/>
    <n v="8314.7668468177162"/>
  </r>
  <r>
    <x v="10"/>
    <d v="2020-12-03T00:00:00"/>
    <d v="2020-12-24T00:00:00"/>
    <x v="15"/>
    <n v="9"/>
    <n v="100"/>
    <n v="1093.1099999999999"/>
    <n v="1176.9000000000001"/>
    <n v="117690.00000000001"/>
    <n v="109310.99999999999"/>
    <n v="8379.0000000000291"/>
    <n v="282.2154654351088"/>
    <n v="8661.215465435138"/>
    <n v="0"/>
    <n v="0"/>
    <n v="0"/>
    <n v="8661.215465435138"/>
  </r>
  <r>
    <x v="11"/>
    <d v="2021-01-06T00:00:00"/>
    <d v="2021-01-25T00:00:00"/>
    <x v="15"/>
    <n v="9"/>
    <n v="105"/>
    <n v="1093.1099999999999"/>
    <n v="1176.9000000000001"/>
    <n v="123574.50000000001"/>
    <n v="114776.54999999999"/>
    <n v="8797.9500000000262"/>
    <n v="296.32623870686427"/>
    <n v="9094.2762387068906"/>
    <n v="0"/>
    <n v="0"/>
    <n v="0"/>
    <n v="9094.27623870689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20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33">
        <item m="1" x="49"/>
        <item m="1" x="69"/>
        <item m="1" x="89"/>
        <item m="1" x="109"/>
        <item m="1" x="129"/>
        <item m="1" x="29"/>
        <item m="1" x="59"/>
        <item m="1" x="79"/>
        <item m="1" x="99"/>
        <item m="1" x="119"/>
        <item m="1" x="19"/>
        <item m="1" x="39"/>
        <item m="1" x="50"/>
        <item m="1" x="70"/>
        <item m="1" x="90"/>
        <item m="1" x="110"/>
        <item m="1" x="130"/>
        <item m="1" x="30"/>
        <item m="1" x="60"/>
        <item m="1" x="80"/>
        <item m="1" x="100"/>
        <item m="1" x="120"/>
        <item m="1" x="20"/>
        <item m="1" x="40"/>
        <item m="1" x="51"/>
        <item m="1" x="71"/>
        <item m="1" x="91"/>
        <item m="1" x="111"/>
        <item m="1" x="131"/>
        <item m="1" x="31"/>
        <item m="1" x="61"/>
        <item m="1" x="81"/>
        <item m="1" x="101"/>
        <item m="1" x="121"/>
        <item m="1" x="21"/>
        <item m="1" x="41"/>
        <item m="1" x="52"/>
        <item m="1" x="72"/>
        <item m="1" x="92"/>
        <item m="1" x="112"/>
        <item m="1" x="12"/>
        <item m="1" x="32"/>
        <item m="1" x="62"/>
        <item m="1" x="82"/>
        <item m="1" x="102"/>
        <item m="1" x="122"/>
        <item m="1" x="22"/>
        <item m="1" x="42"/>
        <item m="1" x="53"/>
        <item m="1" x="73"/>
        <item m="1" x="93"/>
        <item m="1" x="113"/>
        <item m="1" x="13"/>
        <item m="1" x="33"/>
        <item m="1" x="63"/>
        <item m="1" x="83"/>
        <item m="1" x="103"/>
        <item m="1" x="123"/>
        <item m="1" x="23"/>
        <item m="1" x="43"/>
        <item m="1" x="54"/>
        <item m="1" x="74"/>
        <item m="1" x="94"/>
        <item m="1" x="114"/>
        <item m="1" x="14"/>
        <item m="1" x="34"/>
        <item m="1" x="64"/>
        <item m="1" x="84"/>
        <item m="1" x="104"/>
        <item m="1" x="124"/>
        <item m="1" x="24"/>
        <item m="1" x="44"/>
        <item m="1" x="55"/>
        <item m="1" x="75"/>
        <item m="1" x="95"/>
        <item m="1" x="115"/>
        <item m="1" x="15"/>
        <item m="1" x="35"/>
        <item m="1" x="65"/>
        <item m="1" x="85"/>
        <item m="1" x="105"/>
        <item m="1" x="125"/>
        <item m="1" x="25"/>
        <item m="1" x="45"/>
        <item m="1" x="56"/>
        <item m="1" x="76"/>
        <item m="1" x="96"/>
        <item m="1" x="116"/>
        <item m="1" x="16"/>
        <item m="1" x="36"/>
        <item m="1" x="66"/>
        <item m="1" x="86"/>
        <item m="1" x="106"/>
        <item m="1" x="126"/>
        <item m="1" x="26"/>
        <item m="1" x="46"/>
        <item m="1" x="57"/>
        <item m="1" x="77"/>
        <item m="1" x="97"/>
        <item m="1" x="117"/>
        <item m="1" x="17"/>
        <item m="1" x="37"/>
        <item m="1" x="67"/>
        <item m="1" x="87"/>
        <item m="1" x="107"/>
        <item m="1" x="127"/>
        <item m="1" x="27"/>
        <item m="1" x="47"/>
        <item m="1" x="58"/>
        <item m="1" x="78"/>
        <item m="1" x="98"/>
        <item m="1" x="118"/>
        <item m="1" x="18"/>
        <item m="1" x="38"/>
        <item m="1" x="68"/>
        <item m="1" x="88"/>
        <item m="1" x="108"/>
        <item m="1" x="128"/>
        <item m="1" x="28"/>
        <item m="1" x="4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7" sqref="D7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63</v>
      </c>
    </row>
    <row r="3" spans="1:2" x14ac:dyDescent="0.25">
      <c r="A3" s="2">
        <v>1</v>
      </c>
      <c r="B3" s="3" t="s">
        <v>65</v>
      </c>
    </row>
    <row r="4" spans="1:2" ht="13" x14ac:dyDescent="0.3">
      <c r="A4" s="2">
        <v>2</v>
      </c>
      <c r="B4" s="3" t="s">
        <v>64</v>
      </c>
    </row>
    <row r="5" spans="1:2" ht="13" x14ac:dyDescent="0.3">
      <c r="A5" s="2">
        <v>3</v>
      </c>
      <c r="B5" s="3" t="s">
        <v>66</v>
      </c>
    </row>
    <row r="6" spans="1:2" ht="13" x14ac:dyDescent="0.3">
      <c r="A6" s="2">
        <v>4</v>
      </c>
      <c r="B6" s="4" t="s">
        <v>80</v>
      </c>
    </row>
    <row r="7" spans="1:2" x14ac:dyDescent="0.25">
      <c r="A7" s="2">
        <v>5</v>
      </c>
      <c r="B7" s="3" t="s">
        <v>67</v>
      </c>
    </row>
    <row r="8" spans="1:2" x14ac:dyDescent="0.25">
      <c r="A8" s="2">
        <v>6</v>
      </c>
      <c r="B8" s="3" t="s">
        <v>68</v>
      </c>
    </row>
    <row r="9" spans="1:2" x14ac:dyDescent="0.25">
      <c r="A9" s="2">
        <v>7</v>
      </c>
      <c r="B9" s="5" t="s">
        <v>69</v>
      </c>
    </row>
    <row r="10" spans="1:2" ht="13" x14ac:dyDescent="0.3">
      <c r="A10" s="2">
        <v>8</v>
      </c>
      <c r="B10" s="3" t="s">
        <v>72</v>
      </c>
    </row>
    <row r="11" spans="1:2" x14ac:dyDescent="0.25">
      <c r="A11" s="2"/>
      <c r="B11" s="3" t="s">
        <v>73</v>
      </c>
    </row>
    <row r="12" spans="1:2" x14ac:dyDescent="0.25">
      <c r="A12" s="2"/>
      <c r="B12" s="5" t="s">
        <v>74</v>
      </c>
    </row>
    <row r="13" spans="1:2" x14ac:dyDescent="0.25">
      <c r="A13" s="2"/>
      <c r="B13" s="5" t="s">
        <v>75</v>
      </c>
    </row>
    <row r="14" spans="1:2" x14ac:dyDescent="0.25">
      <c r="A14" s="2">
        <v>9</v>
      </c>
      <c r="B14" s="3" t="s">
        <v>76</v>
      </c>
    </row>
    <row r="15" spans="1:2" x14ac:dyDescent="0.25">
      <c r="A15" s="2">
        <v>10</v>
      </c>
      <c r="B15" s="3" t="s">
        <v>78</v>
      </c>
    </row>
    <row r="16" spans="1:2" x14ac:dyDescent="0.25">
      <c r="A16" s="2">
        <v>11</v>
      </c>
      <c r="B16" s="3" t="s">
        <v>79</v>
      </c>
    </row>
    <row r="17" spans="1:1" x14ac:dyDescent="0.25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2"/>
  <sheetViews>
    <sheetView tabSelected="1" zoomScale="85" zoomScaleNormal="85" zoomScaleSheetLayoutView="100" workbookViewId="0">
      <selection activeCell="C8" sqref="C8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6" width="14" style="1" customWidth="1"/>
    <col min="17" max="17" width="15" style="1" customWidth="1"/>
    <col min="18" max="110" width="31.7265625" style="1" customWidth="1"/>
    <col min="111" max="111" width="11.453125" style="1" customWidth="1"/>
    <col min="112" max="16384" width="33.26953125" style="1"/>
  </cols>
  <sheetData>
    <row r="1" spans="2:19" ht="13" x14ac:dyDescent="0.3">
      <c r="C1" s="249" t="str">
        <f>+Transactions!B1</f>
        <v>AEPTCo Formula Rate -- FERC Docket ER18-195</v>
      </c>
      <c r="D1" s="249"/>
      <c r="E1" s="249"/>
      <c r="F1" s="249"/>
      <c r="G1" s="249"/>
      <c r="H1" s="249"/>
      <c r="I1" s="249"/>
      <c r="L1" s="6">
        <v>2020</v>
      </c>
    </row>
    <row r="2" spans="2:19" ht="13" x14ac:dyDescent="0.3">
      <c r="C2" s="249" t="s">
        <v>36</v>
      </c>
      <c r="D2" s="249"/>
      <c r="E2" s="249"/>
      <c r="F2" s="249"/>
      <c r="G2" s="249"/>
      <c r="H2" s="249"/>
      <c r="I2" s="249"/>
    </row>
    <row r="3" spans="2:19" ht="13" x14ac:dyDescent="0.3">
      <c r="C3" s="249" t="str">
        <f>"for period 01/01/"&amp;F8&amp;" - 12/31/"&amp;F8</f>
        <v>for period 01/01/2020 - 12/31/2020</v>
      </c>
      <c r="D3" s="249"/>
      <c r="E3" s="249"/>
      <c r="F3" s="249"/>
      <c r="G3" s="249"/>
      <c r="H3" s="249"/>
      <c r="I3" s="249"/>
    </row>
    <row r="4" spans="2:19" ht="13" x14ac:dyDescent="0.3">
      <c r="C4" s="249" t="s">
        <v>94</v>
      </c>
      <c r="D4" s="249"/>
      <c r="E4" s="249"/>
      <c r="F4" s="249"/>
      <c r="G4" s="249"/>
      <c r="H4" s="249"/>
      <c r="I4" s="249"/>
    </row>
    <row r="5" spans="2:19" x14ac:dyDescent="0.25">
      <c r="C5" s="7" t="str">
        <f>"Prepared:  May 24_, "&amp;L1+1&amp;""</f>
        <v>Prepared:  May 24_, 2021</v>
      </c>
      <c r="D5" s="8"/>
    </row>
    <row r="6" spans="2:19" x14ac:dyDescent="0.25">
      <c r="C6" s="9"/>
    </row>
    <row r="7" spans="2:19" ht="13" x14ac:dyDescent="0.3">
      <c r="C7" s="10"/>
    </row>
    <row r="8" spans="2:19" ht="27.75" customHeight="1" thickBot="1" x14ac:dyDescent="0.3">
      <c r="F8" s="11">
        <f>Transactions!R1</f>
        <v>2020</v>
      </c>
    </row>
    <row r="9" spans="2:19" ht="20.25" customHeight="1" x14ac:dyDescent="0.3">
      <c r="E9" s="12" t="s">
        <v>93</v>
      </c>
      <c r="F9" s="13"/>
      <c r="G9" s="14"/>
      <c r="H9" s="15"/>
      <c r="L9" s="2"/>
    </row>
    <row r="10" spans="2:19" ht="42" customHeight="1" thickBot="1" x14ac:dyDescent="0.3">
      <c r="B10" s="16"/>
      <c r="E10" s="17" t="str">
        <f>"(per "&amp;$F8&amp;" Projections "&amp;$F8&amp;")"</f>
        <v>(per 2020 Projections 2020)</v>
      </c>
      <c r="F10" s="18" t="str">
        <f>"(per "&amp;F8&amp;" Update of May "&amp;F8+1&amp;")"</f>
        <v>(per 2020 Update of May 2021)</v>
      </c>
      <c r="G10" s="19"/>
      <c r="H10" s="20"/>
    </row>
    <row r="11" spans="2:19" ht="21.75" customHeight="1" x14ac:dyDescent="0.25">
      <c r="B11" s="21"/>
      <c r="C11" s="22" t="s">
        <v>39</v>
      </c>
      <c r="D11" s="23" t="s">
        <v>37</v>
      </c>
      <c r="E11" s="24">
        <f>Transactions!K2</f>
        <v>109490022.96958628</v>
      </c>
      <c r="F11" s="25"/>
      <c r="G11" s="26"/>
      <c r="H11" s="27"/>
    </row>
    <row r="12" spans="2:19" ht="21.75" customHeight="1" x14ac:dyDescent="0.25">
      <c r="B12" s="21"/>
      <c r="C12" s="28"/>
      <c r="D12" s="29" t="s">
        <v>42</v>
      </c>
      <c r="E12" s="30"/>
      <c r="F12" s="31">
        <f>+Transactions!J2</f>
        <v>111672757.11566183</v>
      </c>
      <c r="G12" s="32"/>
      <c r="H12" s="33"/>
      <c r="K12" s="34"/>
    </row>
    <row r="13" spans="2:19" ht="21.75" customHeight="1" x14ac:dyDescent="0.25">
      <c r="B13" s="35"/>
      <c r="C13" s="36" t="s">
        <v>40</v>
      </c>
      <c r="D13" s="37" t="s">
        <v>38</v>
      </c>
      <c r="E13" s="38">
        <f>Transactions!K3</f>
        <v>1093.1099999999999</v>
      </c>
      <c r="F13" s="33"/>
      <c r="G13" s="39"/>
      <c r="H13" s="40"/>
      <c r="K13" s="41"/>
    </row>
    <row r="14" spans="2:19" ht="21.75" customHeight="1" thickBot="1" x14ac:dyDescent="0.3">
      <c r="B14" s="16"/>
      <c r="C14" s="42"/>
      <c r="D14" s="43" t="s">
        <v>41</v>
      </c>
      <c r="E14" s="44"/>
      <c r="F14" s="45">
        <f>+Transactions!J3</f>
        <v>1176.9000000000001</v>
      </c>
      <c r="G14" s="46"/>
      <c r="H14" s="33"/>
      <c r="K14" s="34"/>
    </row>
    <row r="15" spans="2:19" x14ac:dyDescent="0.25">
      <c r="B15" s="21"/>
      <c r="E15" s="47"/>
      <c r="K15" s="41"/>
    </row>
    <row r="16" spans="2:19" ht="13" x14ac:dyDescent="0.3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ht="13" x14ac:dyDescent="0.3">
      <c r="C17" s="10"/>
      <c r="K17" s="41"/>
      <c r="N17" s="54"/>
      <c r="O17" s="53"/>
      <c r="P17" s="53"/>
      <c r="Q17" s="53"/>
      <c r="R17" s="53"/>
      <c r="S17" s="53"/>
    </row>
    <row r="18" spans="2:19" x14ac:dyDescent="0.25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3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92</v>
      </c>
      <c r="I19" s="56" t="s">
        <v>91</v>
      </c>
      <c r="J19" s="57" t="s">
        <v>95</v>
      </c>
      <c r="K19" s="58" t="s">
        <v>96</v>
      </c>
      <c r="N19" s="52"/>
      <c r="O19" s="53"/>
      <c r="P19" s="53"/>
      <c r="Q19" s="53"/>
      <c r="R19" s="53"/>
      <c r="S19" s="53"/>
    </row>
    <row r="20" spans="2:19" ht="53.25" customHeight="1" x14ac:dyDescent="0.25">
      <c r="C20" s="59" t="s">
        <v>50</v>
      </c>
      <c r="D20" s="60" t="str">
        <f>"Actual Charge
("&amp;F8&amp;" True-Up)"</f>
        <v>Actual Charge
(2020 True-Up)</v>
      </c>
      <c r="E20" s="61" t="str">
        <f>"Invoiced for
CY"&amp;F8&amp;" Transmission Service"</f>
        <v>Invoiced for
CY2020 Transmission Service</v>
      </c>
      <c r="F20" s="60" t="s">
        <v>101</v>
      </c>
      <c r="G20" s="62" t="s">
        <v>102</v>
      </c>
      <c r="H20" s="62" t="s">
        <v>99</v>
      </c>
      <c r="I20" s="60" t="s">
        <v>103</v>
      </c>
      <c r="J20" s="63" t="s">
        <v>97</v>
      </c>
      <c r="K20" s="64" t="s">
        <v>104</v>
      </c>
      <c r="N20" s="52"/>
      <c r="O20" s="53"/>
      <c r="P20" s="53"/>
      <c r="Q20" s="53"/>
      <c r="R20" s="53"/>
      <c r="S20" s="53"/>
    </row>
    <row r="21" spans="2:19" x14ac:dyDescent="0.25">
      <c r="B21" s="65"/>
      <c r="C21" s="66" t="s">
        <v>14</v>
      </c>
      <c r="D21" s="67">
        <f>GETPIVOTDATA("Sum of "&amp;T(Transactions!$J$19),Pivot!$A$3,"Customer",C21)</f>
        <v>9930682.2000000011</v>
      </c>
      <c r="E21" s="67">
        <f>GETPIVOTDATA("Sum of "&amp;T(Transactions!$K$19),Pivot!$A$3,"Customer",C21)</f>
        <v>9223662.1799999997</v>
      </c>
      <c r="F21" s="67">
        <f>D21-E21</f>
        <v>707020.02000000142</v>
      </c>
      <c r="G21" s="53">
        <f>+GETPIVOTDATA("Sum of "&amp;T(Transactions!$M$19),Pivot!$A$3,"Customer","AECC")</f>
        <v>23813.340973414477</v>
      </c>
      <c r="H21" s="53">
        <f>GETPIVOTDATA("Sum of "&amp;T(Transactions!$Q$19),Pivot!$A$3,"Customer","AECC")</f>
        <v>0</v>
      </c>
      <c r="I21" s="68">
        <f>F21+G21-H21</f>
        <v>730833.3609734159</v>
      </c>
      <c r="J21" s="69">
        <v>0</v>
      </c>
      <c r="K21" s="70">
        <f>I21+J21</f>
        <v>730833.3609734159</v>
      </c>
      <c r="L21" s="65"/>
      <c r="N21" s="52"/>
      <c r="O21" s="53"/>
      <c r="P21" s="53"/>
      <c r="Q21" s="53"/>
      <c r="R21" s="53"/>
      <c r="S21" s="53"/>
    </row>
    <row r="22" spans="2:19" x14ac:dyDescent="0.25">
      <c r="B22" s="65"/>
      <c r="C22" s="71" t="s">
        <v>83</v>
      </c>
      <c r="D22" s="67">
        <f>GETPIVOTDATA("Sum of "&amp;T(Transactions!$J$19),Pivot!$A$3,"Customer",C22)</f>
        <v>513128.4</v>
      </c>
      <c r="E22" s="67">
        <f>GETPIVOTDATA("Sum of "&amp;T(Transactions!$K$19),Pivot!$A$3,"Customer",C22)</f>
        <v>476595.95999999996</v>
      </c>
      <c r="F22" s="67">
        <f>D22-E22</f>
        <v>36532.440000000061</v>
      </c>
      <c r="G22" s="53">
        <f>+GETPIVOTDATA("Sum of "&amp;T(Transactions!$M$19),Pivot!$A$3,"Customer","AECI")</f>
        <v>1230.4594292970744</v>
      </c>
      <c r="H22" s="53">
        <f>GETPIVOTDATA("Sum of "&amp;T(Transactions!$Q$19),Pivot!$A$3,"Customer",C22)</f>
        <v>0</v>
      </c>
      <c r="I22" s="68">
        <f t="shared" ref="I22:I33" si="0">F22+G22-H22</f>
        <v>37762.899429297133</v>
      </c>
      <c r="J22" s="69">
        <v>0</v>
      </c>
      <c r="K22" s="70">
        <f t="shared" ref="K22:K39" si="1">I22+J22</f>
        <v>37762.899429297133</v>
      </c>
      <c r="L22" s="65"/>
      <c r="N22" s="52"/>
      <c r="O22" s="53"/>
      <c r="P22" s="53"/>
      <c r="Q22" s="53"/>
      <c r="R22" s="53"/>
      <c r="S22" s="53"/>
    </row>
    <row r="23" spans="2:19" x14ac:dyDescent="0.25">
      <c r="B23" s="65"/>
      <c r="C23" s="71" t="s">
        <v>54</v>
      </c>
      <c r="D23" s="67">
        <f>GETPIVOTDATA("Sum of "&amp;T(Transactions!$J$19),Pivot!$A$3,"Customer",C23)</f>
        <v>1605291.6000000003</v>
      </c>
      <c r="E23" s="67">
        <f>GETPIVOTDATA("Sum of "&amp;T(Transactions!$K$19),Pivot!$A$3,"Customer",C23)</f>
        <v>1491002.0399999998</v>
      </c>
      <c r="F23" s="67">
        <f t="shared" ref="F23:F35" si="2">D23-E23</f>
        <v>114289.56000000052</v>
      </c>
      <c r="G23" s="53">
        <f>+GETPIVOTDATA("Sum of "&amp;T(Transactions!$M$19),Pivot!$A$3,"Customer","Bentonville, AR")</f>
        <v>3849.4189485348843</v>
      </c>
      <c r="H23" s="53">
        <f>GETPIVOTDATA("Sum of "&amp;T(Transactions!$Q$19),Pivot!$A$3,"Customer",C23)</f>
        <v>0</v>
      </c>
      <c r="I23" s="68">
        <f t="shared" si="0"/>
        <v>118138.97894853541</v>
      </c>
      <c r="J23" s="69">
        <v>0</v>
      </c>
      <c r="K23" s="70">
        <f t="shared" si="1"/>
        <v>118138.97894853541</v>
      </c>
      <c r="L23" s="65"/>
      <c r="N23" s="52"/>
      <c r="O23" s="53"/>
      <c r="P23" s="53"/>
      <c r="Q23" s="53"/>
      <c r="R23" s="53"/>
      <c r="S23" s="53"/>
    </row>
    <row r="24" spans="2:19" x14ac:dyDescent="0.25">
      <c r="B24" s="65"/>
      <c r="C24" s="66" t="s">
        <v>17</v>
      </c>
      <c r="D24" s="67">
        <f>GETPIVOTDATA("Sum of "&amp;T(Transactions!$J$19),Pivot!$A$3,"Customer",C24)</f>
        <v>1352258.1</v>
      </c>
      <c r="E24" s="67">
        <f>GETPIVOTDATA("Sum of "&amp;T(Transactions!$K$19),Pivot!$A$3,"Customer",C24)</f>
        <v>1255983.3899999999</v>
      </c>
      <c r="F24" s="67">
        <f t="shared" si="2"/>
        <v>96274.710000000196</v>
      </c>
      <c r="G24" s="53">
        <f>+GETPIVOTDATA("Sum of "&amp;T(Transactions!$M$19),Pivot!$A$3,"Customer","Coffeyville, KS")</f>
        <v>3242.6556978494</v>
      </c>
      <c r="H24" s="53">
        <f>GETPIVOTDATA("Sum of "&amp;T(Transactions!$Q$19),Pivot!$A$3,"Customer",C24)</f>
        <v>0</v>
      </c>
      <c r="I24" s="68">
        <f t="shared" si="0"/>
        <v>99517.3656978496</v>
      </c>
      <c r="J24" s="69">
        <v>0</v>
      </c>
      <c r="K24" s="70">
        <f t="shared" si="1"/>
        <v>99517.3656978496</v>
      </c>
      <c r="L24" s="65"/>
      <c r="N24" s="52"/>
      <c r="O24" s="53"/>
      <c r="P24" s="53"/>
      <c r="Q24" s="53"/>
      <c r="R24" s="53"/>
      <c r="S24" s="53"/>
    </row>
    <row r="25" spans="2:19" x14ac:dyDescent="0.25">
      <c r="B25" s="65"/>
      <c r="C25" s="71" t="s">
        <v>13</v>
      </c>
      <c r="D25" s="67">
        <f>GETPIVOTDATA("Sum of "&amp;T(Transactions!$J$19),Pivot!$A$3,"Customer",C25)</f>
        <v>11483013.300000001</v>
      </c>
      <c r="E25" s="67">
        <f>GETPIVOTDATA("Sum of "&amp;T(Transactions!$K$19),Pivot!$A$3,"Customer",C25)</f>
        <v>10665474.27</v>
      </c>
      <c r="F25" s="67">
        <f t="shared" si="2"/>
        <v>817539.03000000119</v>
      </c>
      <c r="G25" s="53">
        <f>+GETPIVOTDATA("Sum of "&amp;T(Transactions!$M$19),Pivot!$A$3,"Customer","ETEC")</f>
        <v>27535.762962503562</v>
      </c>
      <c r="H25" s="53">
        <f>GETPIVOTDATA("Sum of "&amp;T(Transactions!$Q$19),Pivot!$A$3,"Customer",C25)</f>
        <v>0</v>
      </c>
      <c r="I25" s="68">
        <f t="shared" si="0"/>
        <v>845074.79296250478</v>
      </c>
      <c r="J25" s="69">
        <v>0</v>
      </c>
      <c r="K25" s="70">
        <f t="shared" si="1"/>
        <v>845074.79296250478</v>
      </c>
      <c r="L25" s="65"/>
      <c r="N25" s="54"/>
      <c r="O25" s="53"/>
      <c r="P25" s="53"/>
      <c r="Q25" s="53"/>
      <c r="R25" s="53"/>
      <c r="S25" s="53"/>
    </row>
    <row r="26" spans="2:19" x14ac:dyDescent="0.25">
      <c r="B26" s="65"/>
      <c r="C26" s="66" t="s">
        <v>15</v>
      </c>
      <c r="D26" s="67">
        <f>GETPIVOTDATA("Sum of "&amp;T(Transactions!$J$19),Pivot!$A$3,"Customer",C26)</f>
        <v>124751.4</v>
      </c>
      <c r="E26" s="67">
        <f>GETPIVOTDATA("Sum of "&amp;T(Transactions!$K$19),Pivot!$A$3,"Customer",C26)</f>
        <v>115869.66</v>
      </c>
      <c r="F26" s="67">
        <f t="shared" si="2"/>
        <v>8881.7399999999907</v>
      </c>
      <c r="G26" s="53">
        <f>+GETPIVOTDATA("Sum of "&amp;T(Transactions!$M$19),Pivot!$A$3,"Customer","Greenbelt")</f>
        <v>299.14839336121531</v>
      </c>
      <c r="H26" s="53">
        <f>GETPIVOTDATA("Sum of "&amp;T(Transactions!$Q$19),Pivot!$A$3,"Customer",C26)</f>
        <v>0</v>
      </c>
      <c r="I26" s="68">
        <f t="shared" si="0"/>
        <v>9180.8883933612051</v>
      </c>
      <c r="J26" s="69">
        <v>0</v>
      </c>
      <c r="K26" s="70">
        <f t="shared" si="1"/>
        <v>9180.8883933612051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5">
      <c r="B27" s="65"/>
      <c r="C27" s="66" t="s">
        <v>57</v>
      </c>
      <c r="D27" s="67">
        <f>GETPIVOTDATA("Sum of "&amp;T(Transactions!$J$19),Pivot!$A$3,"Customer",C27)</f>
        <v>521366.70000000007</v>
      </c>
      <c r="E27" s="67">
        <f>GETPIVOTDATA("Sum of "&amp;T(Transactions!$K$19),Pivot!$A$3,"Customer",C27)</f>
        <v>484247.72999999986</v>
      </c>
      <c r="F27" s="67">
        <f t="shared" si="2"/>
        <v>37118.970000000205</v>
      </c>
      <c r="G27" s="53">
        <f>+GETPIVOTDATA("Sum of "&amp;T(Transactions!$M$19),Pivot!$A$3,"Customer","Hope, AR")</f>
        <v>1250.214511877532</v>
      </c>
      <c r="H27" s="53">
        <f>GETPIVOTDATA("Sum of "&amp;T(Transactions!$Q$19),Pivot!$A$3,"Customer",C27)</f>
        <v>0</v>
      </c>
      <c r="I27" s="68">
        <f t="shared" si="0"/>
        <v>38369.184511877735</v>
      </c>
      <c r="J27" s="69">
        <v>0</v>
      </c>
      <c r="K27" s="70">
        <f t="shared" si="1"/>
        <v>38369.184511877735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5">
      <c r="B28" s="65"/>
      <c r="C28" s="66" t="s">
        <v>16</v>
      </c>
      <c r="D28" s="67">
        <f>GETPIVOTDATA("Sum of "&amp;T(Transactions!$J$19),Pivot!$A$3,"Customer",C28)</f>
        <v>37660.799999999996</v>
      </c>
      <c r="E28" s="67">
        <f>GETPIVOTDATA("Sum of "&amp;T(Transactions!$K$19),Pivot!$A$3,"Customer",C28)</f>
        <v>34979.519999999997</v>
      </c>
      <c r="F28" s="67">
        <f t="shared" si="2"/>
        <v>2681.2799999999988</v>
      </c>
      <c r="G28" s="53">
        <f>+GETPIVOTDATA("Sum of "&amp;T(Transactions!$M$19),Pivot!$A$3,"Customer","Lighthouse")</f>
        <v>90.308948939234782</v>
      </c>
      <c r="H28" s="53">
        <f>GETPIVOTDATA("Sum of "&amp;T(Transactions!$Q$19),Pivot!$A$3,"Customer",C28)</f>
        <v>0</v>
      </c>
      <c r="I28" s="68">
        <f t="shared" si="0"/>
        <v>2771.5889489392334</v>
      </c>
      <c r="J28" s="69">
        <v>0</v>
      </c>
      <c r="K28" s="70">
        <f t="shared" si="1"/>
        <v>2771.5889489392334</v>
      </c>
      <c r="L28" s="65"/>
      <c r="N28" s="52"/>
      <c r="O28" s="53"/>
      <c r="P28" s="53"/>
      <c r="Q28" s="53"/>
      <c r="R28" s="53"/>
      <c r="S28" s="53"/>
    </row>
    <row r="29" spans="2:19" x14ac:dyDescent="0.25">
      <c r="B29" s="65"/>
      <c r="C29" s="71" t="s">
        <v>56</v>
      </c>
      <c r="D29" s="67">
        <f>GETPIVOTDATA("Sum of "&amp;T(Transactions!$J$19),Pivot!$A$3,"Customer",C29)</f>
        <v>334239.60000000009</v>
      </c>
      <c r="E29" s="67">
        <f>GETPIVOTDATA("Sum of "&amp;T(Transactions!$K$19),Pivot!$A$3,"Customer",C29)</f>
        <v>310443.24</v>
      </c>
      <c r="F29" s="67">
        <f t="shared" si="2"/>
        <v>23796.360000000102</v>
      </c>
      <c r="G29" s="53">
        <f>+GETPIVOTDATA("Sum of "&amp;T(Transactions!$M$19),Pivot!$A$3,"Customer","Minden, LA")</f>
        <v>801.49192183570892</v>
      </c>
      <c r="H29" s="53">
        <f>GETPIVOTDATA("Sum of "&amp;T(Transactions!$Q$19),Pivot!$A$3,"Customer",C29)</f>
        <v>0</v>
      </c>
      <c r="I29" s="68">
        <f t="shared" si="0"/>
        <v>24597.851921835812</v>
      </c>
      <c r="J29" s="69">
        <v>0</v>
      </c>
      <c r="K29" s="70">
        <f t="shared" si="1"/>
        <v>24597.851921835812</v>
      </c>
      <c r="L29" s="65"/>
      <c r="N29" s="52"/>
      <c r="O29" s="53"/>
      <c r="P29" s="53"/>
      <c r="Q29" s="53"/>
      <c r="R29" s="53"/>
      <c r="S29" s="53"/>
    </row>
    <row r="30" spans="2:19" x14ac:dyDescent="0.25">
      <c r="B30" s="65"/>
      <c r="C30" s="71" t="s">
        <v>19</v>
      </c>
      <c r="D30" s="67">
        <f>GETPIVOTDATA("Sum of "&amp;T(Transactions!$J$19),Pivot!$A$3,"Customer",C30)</f>
        <v>554319.9</v>
      </c>
      <c r="E30" s="67">
        <f>GETPIVOTDATA("Sum of "&amp;T(Transactions!$K$19),Pivot!$A$3,"Customer",C30)</f>
        <v>514854.80999999994</v>
      </c>
      <c r="F30" s="67">
        <f t="shared" si="2"/>
        <v>39465.090000000084</v>
      </c>
      <c r="G30" s="53">
        <f>+GETPIVOTDATA("Sum of "&amp;T(Transactions!$M$19),Pivot!$A$3,"Customer","OG&amp;E")</f>
        <v>1329.2348421993627</v>
      </c>
      <c r="H30" s="53">
        <f>GETPIVOTDATA("Sum of "&amp;T(Transactions!$Q$19),Pivot!$A$3,"Customer",C30)</f>
        <v>0</v>
      </c>
      <c r="I30" s="68">
        <f t="shared" si="0"/>
        <v>40794.324842199443</v>
      </c>
      <c r="J30" s="69">
        <v>0</v>
      </c>
      <c r="K30" s="70">
        <f t="shared" si="1"/>
        <v>40794.324842199443</v>
      </c>
      <c r="L30" s="65"/>
    </row>
    <row r="31" spans="2:19" x14ac:dyDescent="0.25">
      <c r="B31" s="65"/>
      <c r="C31" s="66" t="s">
        <v>8</v>
      </c>
      <c r="D31" s="67">
        <f>GETPIVOTDATA("Sum of "&amp;T(Transactions!$J$19),Pivot!$A$3,"Customer",C31)</f>
        <v>1432287.3</v>
      </c>
      <c r="E31" s="67">
        <f>GETPIVOTDATA("Sum of "&amp;T(Transactions!$K$19),Pivot!$A$3,"Customer",C31)</f>
        <v>1330314.8699999999</v>
      </c>
      <c r="F31" s="67">
        <f t="shared" si="2"/>
        <v>101972.43000000017</v>
      </c>
      <c r="G31" s="53">
        <f>+GETPIVOTDATA("Sum of "&amp;T(Transactions!$M$19),Pivot!$A$3,"Customer","OMPA")</f>
        <v>3434.5622143452747</v>
      </c>
      <c r="H31" s="53">
        <f>GETPIVOTDATA("Sum of "&amp;T(Transactions!$Q$19),Pivot!$A$3,"Customer",C31)</f>
        <v>0</v>
      </c>
      <c r="I31" s="68">
        <f t="shared" si="0"/>
        <v>105406.99221434545</v>
      </c>
      <c r="J31" s="69">
        <v>0</v>
      </c>
      <c r="K31" s="70">
        <f t="shared" si="1"/>
        <v>105406.99221434545</v>
      </c>
      <c r="L31" s="65"/>
    </row>
    <row r="32" spans="2:19" x14ac:dyDescent="0.25">
      <c r="B32" s="65"/>
      <c r="C32" s="66" t="s">
        <v>55</v>
      </c>
      <c r="D32" s="67">
        <f>GETPIVOTDATA("Sum of "&amp;T(Transactions!$J$19),Pivot!$A$3,"Customer",C32)</f>
        <v>155350.80000000005</v>
      </c>
      <c r="E32" s="67">
        <f>GETPIVOTDATA("Sum of "&amp;T(Transactions!$K$19),Pivot!$A$3,"Customer",C32)</f>
        <v>144290.51999999999</v>
      </c>
      <c r="F32" s="67">
        <f t="shared" si="2"/>
        <v>11060.280000000057</v>
      </c>
      <c r="G32" s="53">
        <f>+GETPIVOTDATA("Sum of "&amp;T(Transactions!$M$19),Pivot!$A$3,"Customer","Prescott, AR")</f>
        <v>372.52441437434368</v>
      </c>
      <c r="H32" s="53">
        <f>GETPIVOTDATA("Sum of "&amp;T(Transactions!$Q$19),Pivot!$A$3,"Customer",C32)</f>
        <v>0</v>
      </c>
      <c r="I32" s="68">
        <f t="shared" si="0"/>
        <v>11432.804414374401</v>
      </c>
      <c r="J32" s="69">
        <v>0</v>
      </c>
      <c r="K32" s="70">
        <f t="shared" si="1"/>
        <v>11432.804414374401</v>
      </c>
      <c r="L32" s="65"/>
    </row>
    <row r="33" spans="2:13" x14ac:dyDescent="0.25">
      <c r="B33" s="65"/>
      <c r="C33" s="73" t="s">
        <v>9</v>
      </c>
      <c r="D33" s="67">
        <f>GETPIVOTDATA("Sum of "&amp;T(Transactions!$J$19),Pivot!$A$3,"Customer",C33)</f>
        <v>503713.2</v>
      </c>
      <c r="E33" s="67">
        <f>GETPIVOTDATA("Sum of "&amp;T(Transactions!$K$19),Pivot!$A$3,"Customer",C33)</f>
        <v>467851.08</v>
      </c>
      <c r="F33" s="67">
        <f t="shared" si="2"/>
        <v>35862.119999999995</v>
      </c>
      <c r="G33" s="53">
        <f>+GETPIVOTDATA("Sum of "&amp;T(Transactions!$M$19),Pivot!$A$3,"Customer","WFEC")</f>
        <v>1207.8821920622656</v>
      </c>
      <c r="H33" s="53">
        <f>GETPIVOTDATA("Sum of "&amp;T(Transactions!$Q$19),Pivot!$A$3,"Customer",C33)</f>
        <v>0</v>
      </c>
      <c r="I33" s="68">
        <f t="shared" si="0"/>
        <v>37070.00219206226</v>
      </c>
      <c r="J33" s="69">
        <v>0</v>
      </c>
      <c r="K33" s="70">
        <f t="shared" si="1"/>
        <v>37070.00219206226</v>
      </c>
      <c r="L33" s="65"/>
    </row>
    <row r="34" spans="2:13" ht="23" x14ac:dyDescent="0.25">
      <c r="C34" s="74" t="s">
        <v>43</v>
      </c>
      <c r="D34" s="75">
        <f t="shared" ref="D34:J34" si="3">SUM(D21:D33)</f>
        <v>28548063.300000001</v>
      </c>
      <c r="E34" s="75">
        <f t="shared" si="3"/>
        <v>26515569.269999996</v>
      </c>
      <c r="F34" s="75">
        <f t="shared" si="3"/>
        <v>2032494.030000004</v>
      </c>
      <c r="G34" s="76">
        <f t="shared" si="3"/>
        <v>68457.005450594341</v>
      </c>
      <c r="H34" s="76">
        <f t="shared" si="3"/>
        <v>0</v>
      </c>
      <c r="I34" s="77">
        <f t="shared" si="3"/>
        <v>2100951.0354505982</v>
      </c>
      <c r="J34" s="78">
        <f t="shared" si="3"/>
        <v>0</v>
      </c>
      <c r="K34" s="79">
        <f t="shared" si="1"/>
        <v>2100951.0354505982</v>
      </c>
    </row>
    <row r="35" spans="2:13" x14ac:dyDescent="0.25">
      <c r="C35" s="80" t="s">
        <v>21</v>
      </c>
      <c r="D35" s="67">
        <f>GETPIVOTDATA("Sum of "&amp;T(Transactions!$J$19),Pivot!$A$3,"Customer",C35)</f>
        <v>41561046.600000001</v>
      </c>
      <c r="E35" s="67">
        <f>GETPIVOTDATA("Sum of "&amp;T(Transactions!$K$19),Pivot!$A$3,"Customer",C35)</f>
        <v>38602086.539999999</v>
      </c>
      <c r="F35" s="67">
        <f t="shared" si="2"/>
        <v>2958960.0600000024</v>
      </c>
      <c r="G35" s="53">
        <f>+GETPIVOTDATA("Sum of "&amp;T(Transactions!$M$19),Pivot!$A$3,"Customer","PSO")</f>
        <v>99661.569463754335</v>
      </c>
      <c r="H35" s="53">
        <f>GETPIVOTDATA("Sum of "&amp;T(Transactions!$Q$19),Pivot!$A$3,"Customer",C35)</f>
        <v>0</v>
      </c>
      <c r="I35" s="68">
        <f>F35+G35-H35</f>
        <v>3058621.6294637569</v>
      </c>
      <c r="J35" s="69">
        <v>0</v>
      </c>
      <c r="K35" s="70">
        <f t="shared" si="1"/>
        <v>3058621.6294637569</v>
      </c>
    </row>
    <row r="36" spans="2:13" x14ac:dyDescent="0.25">
      <c r="C36" s="81" t="s">
        <v>22</v>
      </c>
      <c r="D36" s="67">
        <f>GETPIVOTDATA("Sum of "&amp;T(Transactions!$J$19),Pivot!$A$3,"Customer",C36)</f>
        <v>39867487.5</v>
      </c>
      <c r="E36" s="67">
        <f>GETPIVOTDATA("Sum of "&amp;T(Transactions!$K$19),Pivot!$A$3,"Customer",C36)</f>
        <v>37029101.249999993</v>
      </c>
      <c r="F36" s="67">
        <f>D36-E36</f>
        <v>2838386.2500000075</v>
      </c>
      <c r="G36" s="53">
        <f>+GETPIVOTDATA("Sum of "&amp;T(Transactions!$M$19),Pivot!$A$3,"Customer","SWEPCO")</f>
        <v>95600.488916143106</v>
      </c>
      <c r="H36" s="53">
        <f>GETPIVOTDATA("Sum of "&amp;T(Transactions!$Q$19),Pivot!$A$3,"Customer",C36)</f>
        <v>0</v>
      </c>
      <c r="I36" s="68">
        <f>F36+G36-H36</f>
        <v>2933986.7389161508</v>
      </c>
      <c r="J36" s="69">
        <v>0</v>
      </c>
      <c r="K36" s="70">
        <f t="shared" si="1"/>
        <v>2933986.7389161508</v>
      </c>
    </row>
    <row r="37" spans="2:13" x14ac:dyDescent="0.25">
      <c r="C37" s="82" t="s">
        <v>81</v>
      </c>
      <c r="D37" s="67">
        <f>GETPIVOTDATA("Sum of "&amp;T(Transactions!$J$19),Pivot!$A$3,"Customer",C37)</f>
        <v>1695912.9</v>
      </c>
      <c r="E37" s="67">
        <f>GETPIVOTDATA("Sum of "&amp;T(Transactions!$K$19),Pivot!$A$3,"Customer",C37)</f>
        <v>1575171.51</v>
      </c>
      <c r="F37" s="67">
        <f>D37-E37</f>
        <v>120741.3899999999</v>
      </c>
      <c r="G37" s="53">
        <f>+GETPIVOTDATA("Sum of "&amp;T(Transactions!$M$19),Pivot!$A$3,"Customer","SWEPCO-Valley")</f>
        <v>4066.7248569199178</v>
      </c>
      <c r="H37" s="53">
        <f>GETPIVOTDATA("Sum of "&amp;T(Transactions!$Q$19),Pivot!$A$3,"Customer",C37)</f>
        <v>0</v>
      </c>
      <c r="I37" s="68">
        <f>F37+G37-H37</f>
        <v>124808.11485691981</v>
      </c>
      <c r="J37" s="69">
        <v>0</v>
      </c>
      <c r="K37" s="70">
        <f t="shared" si="1"/>
        <v>124808.11485691981</v>
      </c>
    </row>
    <row r="38" spans="2:13" ht="23" x14ac:dyDescent="0.25">
      <c r="C38" s="83" t="s">
        <v>51</v>
      </c>
      <c r="D38" s="84">
        <f t="shared" ref="D38:I38" si="4">SUM(D35:D37)</f>
        <v>83124447</v>
      </c>
      <c r="E38" s="84">
        <f t="shared" si="4"/>
        <v>77206359.299999997</v>
      </c>
      <c r="F38" s="84">
        <f t="shared" si="4"/>
        <v>5918087.7000000095</v>
      </c>
      <c r="G38" s="85">
        <f t="shared" si="4"/>
        <v>199328.78323681737</v>
      </c>
      <c r="H38" s="85">
        <f t="shared" si="4"/>
        <v>0</v>
      </c>
      <c r="I38" s="86">
        <f t="shared" si="4"/>
        <v>6117416.4832368279</v>
      </c>
      <c r="J38" s="87">
        <f>SUM(J35:J37)</f>
        <v>0</v>
      </c>
      <c r="K38" s="88">
        <f t="shared" si="1"/>
        <v>6117416.4832368279</v>
      </c>
      <c r="M38" s="89"/>
    </row>
    <row r="39" spans="2:13" ht="23.25" customHeight="1" thickBot="1" x14ac:dyDescent="0.3">
      <c r="C39" s="90" t="s">
        <v>44</v>
      </c>
      <c r="D39" s="91">
        <f t="shared" ref="D39:I39" si="5">SUM(D34,D38)</f>
        <v>111672510.3</v>
      </c>
      <c r="E39" s="92">
        <f t="shared" si="5"/>
        <v>103721928.56999999</v>
      </c>
      <c r="F39" s="91">
        <f t="shared" si="5"/>
        <v>7950581.7300000135</v>
      </c>
      <c r="G39" s="92">
        <f t="shared" si="5"/>
        <v>267785.7886874117</v>
      </c>
      <c r="H39" s="92">
        <f t="shared" si="5"/>
        <v>0</v>
      </c>
      <c r="I39" s="93">
        <f t="shared" si="5"/>
        <v>8218367.5186874261</v>
      </c>
      <c r="J39" s="94">
        <f>SUM(J34,J38)</f>
        <v>0</v>
      </c>
      <c r="K39" s="95">
        <f t="shared" si="1"/>
        <v>8218367.5186874261</v>
      </c>
      <c r="M39" s="89"/>
    </row>
    <row r="40" spans="2:13" x14ac:dyDescent="0.25">
      <c r="E40" s="52"/>
      <c r="F40" s="52"/>
      <c r="G40" s="52"/>
      <c r="H40" s="52"/>
    </row>
    <row r="41" spans="2:13" x14ac:dyDescent="0.25">
      <c r="K41" s="96"/>
    </row>
    <row r="42" spans="2:13" x14ac:dyDescent="0.25">
      <c r="D42" s="65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6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26"/>
  <sheetViews>
    <sheetView zoomScale="85" workbookViewId="0">
      <pane xSplit="2" ySplit="4" topLeftCell="I71" activePane="bottomRight" state="frozen"/>
      <selection pane="topRight" activeCell="C1" sqref="C1"/>
      <selection pane="bottomLeft" activeCell="A5" sqref="A5"/>
      <selection pane="bottomRight" activeCell="J79" sqref="J79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7265625" style="1" bestFit="1" customWidth="1"/>
    <col min="15" max="15" width="12.1796875" style="1" bestFit="1" customWidth="1"/>
    <col min="16" max="16384" width="8.7265625" style="1"/>
  </cols>
  <sheetData>
    <row r="3" spans="1:15" x14ac:dyDescent="0.25">
      <c r="A3" s="97"/>
      <c r="B3" s="98"/>
      <c r="C3" s="99" t="s">
        <v>53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5">
      <c r="A4" s="99" t="s">
        <v>0</v>
      </c>
      <c r="B4" s="99" t="s">
        <v>24</v>
      </c>
      <c r="C4" s="101">
        <v>43831</v>
      </c>
      <c r="D4" s="102">
        <v>43862</v>
      </c>
      <c r="E4" s="102">
        <v>43891</v>
      </c>
      <c r="F4" s="102">
        <v>43922</v>
      </c>
      <c r="G4" s="102">
        <v>43952</v>
      </c>
      <c r="H4" s="102">
        <v>43983</v>
      </c>
      <c r="I4" s="102">
        <v>44013</v>
      </c>
      <c r="J4" s="102">
        <v>44044</v>
      </c>
      <c r="K4" s="102">
        <v>44075</v>
      </c>
      <c r="L4" s="102">
        <v>44105</v>
      </c>
      <c r="M4" s="102">
        <v>44136</v>
      </c>
      <c r="N4" s="102">
        <v>44166</v>
      </c>
      <c r="O4" s="103" t="s">
        <v>18</v>
      </c>
    </row>
    <row r="5" spans="1:15" x14ac:dyDescent="0.25">
      <c r="A5" s="97" t="s">
        <v>14</v>
      </c>
      <c r="B5" s="97" t="s">
        <v>70</v>
      </c>
      <c r="C5" s="104">
        <v>886205.70000000007</v>
      </c>
      <c r="D5" s="105">
        <v>841483.50000000012</v>
      </c>
      <c r="E5" s="105">
        <v>600219</v>
      </c>
      <c r="F5" s="105">
        <v>723793.5</v>
      </c>
      <c r="G5" s="105">
        <v>648471.9</v>
      </c>
      <c r="H5" s="105">
        <v>959173.50000000012</v>
      </c>
      <c r="I5" s="105">
        <v>960350.4</v>
      </c>
      <c r="J5" s="105">
        <v>1046264.1000000001</v>
      </c>
      <c r="K5" s="105">
        <v>903859.20000000007</v>
      </c>
      <c r="L5" s="105">
        <v>744977.70000000007</v>
      </c>
      <c r="M5" s="105">
        <v>752039.10000000009</v>
      </c>
      <c r="N5" s="105">
        <v>863844.60000000009</v>
      </c>
      <c r="O5" s="106">
        <v>9930682.2000000011</v>
      </c>
    </row>
    <row r="6" spans="1:15" ht="13" x14ac:dyDescent="0.3">
      <c r="A6" s="238"/>
      <c r="B6" s="107" t="s">
        <v>25</v>
      </c>
      <c r="C6" s="243">
        <v>63093.870000000112</v>
      </c>
      <c r="D6" s="244">
        <v>59909.85000000021</v>
      </c>
      <c r="E6" s="244">
        <v>42732.900000000023</v>
      </c>
      <c r="F6" s="244">
        <v>51530.850000000093</v>
      </c>
      <c r="G6" s="244">
        <v>46168.290000000037</v>
      </c>
      <c r="H6" s="244">
        <v>68288.85000000021</v>
      </c>
      <c r="I6" s="244">
        <v>68372.64000000013</v>
      </c>
      <c r="J6" s="244">
        <v>74489.310000000172</v>
      </c>
      <c r="K6" s="244">
        <v>64350.720000000088</v>
      </c>
      <c r="L6" s="244">
        <v>53039.070000000182</v>
      </c>
      <c r="M6" s="244">
        <v>53541.810000000172</v>
      </c>
      <c r="N6" s="244">
        <v>61501.860000000219</v>
      </c>
      <c r="O6" s="245">
        <v>707020.02000000165</v>
      </c>
    </row>
    <row r="7" spans="1:15" ht="13" x14ac:dyDescent="0.3">
      <c r="A7" s="238"/>
      <c r="B7" s="107" t="s">
        <v>26</v>
      </c>
      <c r="C7" s="243">
        <v>2125.0824547263692</v>
      </c>
      <c r="D7" s="244">
        <v>2017.8405778610281</v>
      </c>
      <c r="E7" s="244">
        <v>1439.2988737190549</v>
      </c>
      <c r="F7" s="244">
        <v>1735.625112425919</v>
      </c>
      <c r="G7" s="244">
        <v>1555.0072145474494</v>
      </c>
      <c r="H7" s="244">
        <v>2300.0560432961365</v>
      </c>
      <c r="I7" s="244">
        <v>2302.8781979504879</v>
      </c>
      <c r="J7" s="244">
        <v>2508.8954877181172</v>
      </c>
      <c r="K7" s="244">
        <v>2167.4147745416353</v>
      </c>
      <c r="L7" s="244">
        <v>1786.4238962042386</v>
      </c>
      <c r="M7" s="244">
        <v>1803.3568241303453</v>
      </c>
      <c r="N7" s="244">
        <v>2071.4615162936984</v>
      </c>
      <c r="O7" s="245">
        <v>23813.340973414477</v>
      </c>
    </row>
    <row r="8" spans="1:15" ht="13" x14ac:dyDescent="0.3">
      <c r="A8" s="238"/>
      <c r="B8" s="107" t="s">
        <v>27</v>
      </c>
      <c r="C8" s="243">
        <v>65218.952454726481</v>
      </c>
      <c r="D8" s="244">
        <v>61927.690577861234</v>
      </c>
      <c r="E8" s="244">
        <v>44172.198873719077</v>
      </c>
      <c r="F8" s="244">
        <v>53266.475112426015</v>
      </c>
      <c r="G8" s="244">
        <v>47723.297214547485</v>
      </c>
      <c r="H8" s="244">
        <v>70588.906043296345</v>
      </c>
      <c r="I8" s="244">
        <v>70675.518197950616</v>
      </c>
      <c r="J8" s="244">
        <v>76998.205487718296</v>
      </c>
      <c r="K8" s="244">
        <v>66518.13477454173</v>
      </c>
      <c r="L8" s="244">
        <v>54825.493896204418</v>
      </c>
      <c r="M8" s="244">
        <v>55345.166824130516</v>
      </c>
      <c r="N8" s="244">
        <v>63573.321516293916</v>
      </c>
      <c r="O8" s="245">
        <v>730833.36097341601</v>
      </c>
    </row>
    <row r="9" spans="1:15" x14ac:dyDescent="0.25">
      <c r="A9" s="238"/>
      <c r="B9" s="107" t="s">
        <v>49</v>
      </c>
      <c r="C9" s="108">
        <v>823111.83</v>
      </c>
      <c r="D9" s="96">
        <v>781573.64999999991</v>
      </c>
      <c r="E9" s="96">
        <v>557486.1</v>
      </c>
      <c r="F9" s="96">
        <v>672262.64999999991</v>
      </c>
      <c r="G9" s="96">
        <v>602303.61</v>
      </c>
      <c r="H9" s="96">
        <v>890884.64999999991</v>
      </c>
      <c r="I9" s="96">
        <v>891977.75999999989</v>
      </c>
      <c r="J9" s="96">
        <v>971774.78999999992</v>
      </c>
      <c r="K9" s="96">
        <v>839508.47999999998</v>
      </c>
      <c r="L9" s="96">
        <v>691938.62999999989</v>
      </c>
      <c r="M9" s="96">
        <v>698497.28999999992</v>
      </c>
      <c r="N9" s="96">
        <v>802342.73999999987</v>
      </c>
      <c r="O9" s="109">
        <v>9223662.1799999997</v>
      </c>
    </row>
    <row r="10" spans="1:15" x14ac:dyDescent="0.25">
      <c r="A10" s="238"/>
      <c r="B10" s="107" t="s">
        <v>87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5">
      <c r="A11" s="238"/>
      <c r="B11" s="107" t="s">
        <v>89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5">
      <c r="A12" s="97" t="s">
        <v>17</v>
      </c>
      <c r="B12" s="97" t="s">
        <v>70</v>
      </c>
      <c r="C12" s="104">
        <v>124751.40000000001</v>
      </c>
      <c r="D12" s="105">
        <v>121220.70000000001</v>
      </c>
      <c r="E12" s="105">
        <v>30599.4</v>
      </c>
      <c r="F12" s="105">
        <v>114159.3</v>
      </c>
      <c r="G12" s="105">
        <v>94152</v>
      </c>
      <c r="H12" s="105">
        <v>116513.1</v>
      </c>
      <c r="I12" s="105">
        <v>130635.90000000001</v>
      </c>
      <c r="J12" s="105">
        <v>131812.80000000002</v>
      </c>
      <c r="K12" s="105">
        <v>134166.6</v>
      </c>
      <c r="L12" s="105">
        <v>112982.40000000001</v>
      </c>
      <c r="M12" s="105">
        <v>117690.00000000001</v>
      </c>
      <c r="N12" s="105">
        <v>123574.50000000001</v>
      </c>
      <c r="O12" s="106">
        <v>1352258.1</v>
      </c>
    </row>
    <row r="13" spans="1:15" ht="13" x14ac:dyDescent="0.3">
      <c r="A13" s="238"/>
      <c r="B13" s="107" t="s">
        <v>25</v>
      </c>
      <c r="C13" s="243">
        <v>8881.7400000000198</v>
      </c>
      <c r="D13" s="244">
        <v>8630.3700000000244</v>
      </c>
      <c r="E13" s="244">
        <v>2178.5400000000045</v>
      </c>
      <c r="F13" s="244">
        <v>8127.6300000000192</v>
      </c>
      <c r="G13" s="244">
        <v>6703.2000000000116</v>
      </c>
      <c r="H13" s="244">
        <v>8295.210000000021</v>
      </c>
      <c r="I13" s="244">
        <v>9300.6900000000169</v>
      </c>
      <c r="J13" s="244">
        <v>9384.480000000025</v>
      </c>
      <c r="K13" s="244">
        <v>9552.0600000000122</v>
      </c>
      <c r="L13" s="244">
        <v>8043.8400000000111</v>
      </c>
      <c r="M13" s="244">
        <v>8379.0000000000291</v>
      </c>
      <c r="N13" s="244">
        <v>8797.9500000000262</v>
      </c>
      <c r="O13" s="245">
        <v>96274.710000000225</v>
      </c>
    </row>
    <row r="14" spans="1:15" ht="13" x14ac:dyDescent="0.3">
      <c r="A14" s="238"/>
      <c r="B14" s="107" t="s">
        <v>26</v>
      </c>
      <c r="C14" s="243">
        <v>299.14839336121537</v>
      </c>
      <c r="D14" s="244">
        <v>290.68192939816208</v>
      </c>
      <c r="E14" s="244">
        <v>73.376021013128295</v>
      </c>
      <c r="F14" s="244">
        <v>273.74900147205551</v>
      </c>
      <c r="G14" s="244">
        <v>225.77237234808706</v>
      </c>
      <c r="H14" s="244">
        <v>279.3933107807577</v>
      </c>
      <c r="I14" s="244">
        <v>313.25916663297073</v>
      </c>
      <c r="J14" s="244">
        <v>316.08132128732183</v>
      </c>
      <c r="K14" s="244">
        <v>321.72563059602402</v>
      </c>
      <c r="L14" s="244">
        <v>270.92684681770442</v>
      </c>
      <c r="M14" s="244">
        <v>282.2154654351088</v>
      </c>
      <c r="N14" s="244">
        <v>296.32623870686427</v>
      </c>
      <c r="O14" s="245">
        <v>3242.6556978494</v>
      </c>
    </row>
    <row r="15" spans="1:15" ht="13" x14ac:dyDescent="0.3">
      <c r="A15" s="238"/>
      <c r="B15" s="107" t="s">
        <v>27</v>
      </c>
      <c r="C15" s="243">
        <v>9180.888393361236</v>
      </c>
      <c r="D15" s="244">
        <v>8921.051929398187</v>
      </c>
      <c r="E15" s="244">
        <v>2251.9160210131326</v>
      </c>
      <c r="F15" s="244">
        <v>8401.3790014720744</v>
      </c>
      <c r="G15" s="244">
        <v>6928.9723723480984</v>
      </c>
      <c r="H15" s="244">
        <v>8574.603310780778</v>
      </c>
      <c r="I15" s="244">
        <v>9613.9491666329868</v>
      </c>
      <c r="J15" s="244">
        <v>9700.5613212873468</v>
      </c>
      <c r="K15" s="244">
        <v>9873.7856305960358</v>
      </c>
      <c r="L15" s="244">
        <v>8314.7668468177162</v>
      </c>
      <c r="M15" s="244">
        <v>8661.215465435138</v>
      </c>
      <c r="N15" s="244">
        <v>9094.2762387068906</v>
      </c>
      <c r="O15" s="245">
        <v>99517.365697849615</v>
      </c>
    </row>
    <row r="16" spans="1:15" x14ac:dyDescent="0.25">
      <c r="A16" s="238"/>
      <c r="B16" s="107" t="s">
        <v>49</v>
      </c>
      <c r="C16" s="108">
        <v>115869.65999999999</v>
      </c>
      <c r="D16" s="96">
        <v>112590.32999999999</v>
      </c>
      <c r="E16" s="96">
        <v>28420.859999999997</v>
      </c>
      <c r="F16" s="96">
        <v>106031.66999999998</v>
      </c>
      <c r="G16" s="96">
        <v>87448.799999999988</v>
      </c>
      <c r="H16" s="96">
        <v>108217.88999999998</v>
      </c>
      <c r="I16" s="96">
        <v>121335.20999999999</v>
      </c>
      <c r="J16" s="96">
        <v>122428.31999999999</v>
      </c>
      <c r="K16" s="96">
        <v>124614.54</v>
      </c>
      <c r="L16" s="96">
        <v>104938.56</v>
      </c>
      <c r="M16" s="96">
        <v>109310.99999999999</v>
      </c>
      <c r="N16" s="96">
        <v>114776.54999999999</v>
      </c>
      <c r="O16" s="109">
        <v>1255983.3899999999</v>
      </c>
    </row>
    <row r="17" spans="1:15" x14ac:dyDescent="0.25">
      <c r="A17" s="238"/>
      <c r="B17" s="107" t="s">
        <v>87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5">
      <c r="A18" s="238"/>
      <c r="B18" s="107" t="s">
        <v>89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5">
      <c r="A19" s="97" t="s">
        <v>13</v>
      </c>
      <c r="B19" s="97" t="s">
        <v>70</v>
      </c>
      <c r="C19" s="104">
        <v>1145123.7000000002</v>
      </c>
      <c r="D19" s="105">
        <v>1166307.9000000001</v>
      </c>
      <c r="E19" s="105">
        <v>688486.5</v>
      </c>
      <c r="F19" s="105">
        <v>764985.00000000012</v>
      </c>
      <c r="G19" s="105">
        <v>809707.20000000007</v>
      </c>
      <c r="H19" s="105">
        <v>982711.50000000012</v>
      </c>
      <c r="I19" s="105">
        <v>1068625.2000000002</v>
      </c>
      <c r="J19" s="105">
        <v>1065094.5</v>
      </c>
      <c r="K19" s="105">
        <v>892090.20000000007</v>
      </c>
      <c r="L19" s="105">
        <v>839129.70000000007</v>
      </c>
      <c r="M19" s="105">
        <v>897974.70000000007</v>
      </c>
      <c r="N19" s="105">
        <v>1162777.2000000002</v>
      </c>
      <c r="O19" s="106">
        <v>11483013.300000001</v>
      </c>
    </row>
    <row r="20" spans="1:15" ht="13" x14ac:dyDescent="0.3">
      <c r="A20" s="238"/>
      <c r="B20" s="107" t="s">
        <v>25</v>
      </c>
      <c r="C20" s="243">
        <v>81527.670000000391</v>
      </c>
      <c r="D20" s="244">
        <v>83035.89000000013</v>
      </c>
      <c r="E20" s="244">
        <v>49017.150000000023</v>
      </c>
      <c r="F20" s="244">
        <v>54463.500000000233</v>
      </c>
      <c r="G20" s="244">
        <v>57647.520000000135</v>
      </c>
      <c r="H20" s="244">
        <v>69964.650000000256</v>
      </c>
      <c r="I20" s="244">
        <v>76081.320000000298</v>
      </c>
      <c r="J20" s="244">
        <v>75829.95000000007</v>
      </c>
      <c r="K20" s="244">
        <v>63512.820000000182</v>
      </c>
      <c r="L20" s="244">
        <v>59742.270000000135</v>
      </c>
      <c r="M20" s="244">
        <v>63931.770000000135</v>
      </c>
      <c r="N20" s="244">
        <v>82784.520000000251</v>
      </c>
      <c r="O20" s="245">
        <v>817539.03000000224</v>
      </c>
    </row>
    <row r="21" spans="1:15" ht="13" x14ac:dyDescent="0.3">
      <c r="A21" s="238"/>
      <c r="B21" s="107" t="s">
        <v>26</v>
      </c>
      <c r="C21" s="243">
        <v>2745.9564786836086</v>
      </c>
      <c r="D21" s="244">
        <v>2796.7552624619284</v>
      </c>
      <c r="E21" s="244">
        <v>1650.9604727953865</v>
      </c>
      <c r="F21" s="244">
        <v>1834.4005253282073</v>
      </c>
      <c r="G21" s="244">
        <v>1941.6424021935486</v>
      </c>
      <c r="H21" s="244">
        <v>2356.4991363831582</v>
      </c>
      <c r="I21" s="244">
        <v>2562.516426150788</v>
      </c>
      <c r="J21" s="244">
        <v>2554.0499621877348</v>
      </c>
      <c r="K21" s="244">
        <v>2139.1932279981247</v>
      </c>
      <c r="L21" s="244">
        <v>2012.1962685523258</v>
      </c>
      <c r="M21" s="244">
        <v>2153.3040012698802</v>
      </c>
      <c r="N21" s="244">
        <v>2788.2887984988747</v>
      </c>
      <c r="O21" s="245">
        <v>27535.762962503562</v>
      </c>
    </row>
    <row r="22" spans="1:15" ht="13" x14ac:dyDescent="0.3">
      <c r="A22" s="238"/>
      <c r="B22" s="107" t="s">
        <v>27</v>
      </c>
      <c r="C22" s="243">
        <v>84273.626478684004</v>
      </c>
      <c r="D22" s="244">
        <v>85832.645262462058</v>
      </c>
      <c r="E22" s="244">
        <v>50668.110472795408</v>
      </c>
      <c r="F22" s="244">
        <v>56297.900525328441</v>
      </c>
      <c r="G22" s="244">
        <v>59589.16240219368</v>
      </c>
      <c r="H22" s="244">
        <v>72321.149136383421</v>
      </c>
      <c r="I22" s="244">
        <v>78643.836426151087</v>
      </c>
      <c r="J22" s="244">
        <v>78383.999962187809</v>
      </c>
      <c r="K22" s="244">
        <v>65652.013227998308</v>
      </c>
      <c r="L22" s="244">
        <v>61754.46626855246</v>
      </c>
      <c r="M22" s="244">
        <v>66085.074001270012</v>
      </c>
      <c r="N22" s="244">
        <v>85572.808798499129</v>
      </c>
      <c r="O22" s="245">
        <v>845074.79296250583</v>
      </c>
    </row>
    <row r="23" spans="1:15" x14ac:dyDescent="0.25">
      <c r="A23" s="238"/>
      <c r="B23" s="107" t="s">
        <v>49</v>
      </c>
      <c r="C23" s="108">
        <v>1063596.0299999998</v>
      </c>
      <c r="D23" s="96">
        <v>1083272.01</v>
      </c>
      <c r="E23" s="96">
        <v>639469.35</v>
      </c>
      <c r="F23" s="96">
        <v>710521.49999999988</v>
      </c>
      <c r="G23" s="96">
        <v>752059.67999999993</v>
      </c>
      <c r="H23" s="96">
        <v>912746.84999999986</v>
      </c>
      <c r="I23" s="96">
        <v>992543.87999999989</v>
      </c>
      <c r="J23" s="96">
        <v>989264.54999999993</v>
      </c>
      <c r="K23" s="96">
        <v>828577.37999999989</v>
      </c>
      <c r="L23" s="96">
        <v>779387.42999999993</v>
      </c>
      <c r="M23" s="96">
        <v>834042.92999999993</v>
      </c>
      <c r="N23" s="96">
        <v>1079992.68</v>
      </c>
      <c r="O23" s="109">
        <v>10665474.27</v>
      </c>
    </row>
    <row r="24" spans="1:15" x14ac:dyDescent="0.25">
      <c r="A24" s="238"/>
      <c r="B24" s="107" t="s">
        <v>87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5">
      <c r="A25" s="238"/>
      <c r="B25" s="107" t="s">
        <v>89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5">
      <c r="A26" s="97" t="s">
        <v>15</v>
      </c>
      <c r="B26" s="97" t="s">
        <v>70</v>
      </c>
      <c r="C26" s="104">
        <v>7061.4000000000005</v>
      </c>
      <c r="D26" s="105">
        <v>5884.5</v>
      </c>
      <c r="E26" s="105">
        <v>4707.6000000000004</v>
      </c>
      <c r="F26" s="105">
        <v>8238.3000000000011</v>
      </c>
      <c r="G26" s="105">
        <v>12945.900000000001</v>
      </c>
      <c r="H26" s="105">
        <v>14122.800000000001</v>
      </c>
      <c r="I26" s="105">
        <v>21184.2</v>
      </c>
      <c r="J26" s="105">
        <v>18830.400000000001</v>
      </c>
      <c r="K26" s="105">
        <v>7061.4000000000005</v>
      </c>
      <c r="L26" s="105">
        <v>8238.3000000000011</v>
      </c>
      <c r="M26" s="105">
        <v>7061.4000000000005</v>
      </c>
      <c r="N26" s="105">
        <v>9415.2000000000007</v>
      </c>
      <c r="O26" s="106">
        <v>124751.4</v>
      </c>
    </row>
    <row r="27" spans="1:15" ht="13" x14ac:dyDescent="0.3">
      <c r="A27" s="238"/>
      <c r="B27" s="107" t="s">
        <v>25</v>
      </c>
      <c r="C27" s="243">
        <v>502.74000000000069</v>
      </c>
      <c r="D27" s="244">
        <v>418.95000000000073</v>
      </c>
      <c r="E27" s="244">
        <v>335.16000000000076</v>
      </c>
      <c r="F27" s="244">
        <v>586.53000000000156</v>
      </c>
      <c r="G27" s="244">
        <v>921.69000000000233</v>
      </c>
      <c r="H27" s="244">
        <v>1005.4800000000014</v>
      </c>
      <c r="I27" s="244">
        <v>1508.2200000000012</v>
      </c>
      <c r="J27" s="244">
        <v>1340.6400000000031</v>
      </c>
      <c r="K27" s="244">
        <v>502.74000000000069</v>
      </c>
      <c r="L27" s="244">
        <v>586.53000000000156</v>
      </c>
      <c r="M27" s="244">
        <v>502.74000000000069</v>
      </c>
      <c r="N27" s="244">
        <v>670.32000000000153</v>
      </c>
      <c r="O27" s="245">
        <v>8881.7400000000162</v>
      </c>
    </row>
    <row r="28" spans="1:15" ht="13" x14ac:dyDescent="0.3">
      <c r="A28" s="238"/>
      <c r="B28" s="107" t="s">
        <v>26</v>
      </c>
      <c r="C28" s="243">
        <v>16.932927926106526</v>
      </c>
      <c r="D28" s="244">
        <v>14.110773271755441</v>
      </c>
      <c r="E28" s="244">
        <v>11.288618617404351</v>
      </c>
      <c r="F28" s="244">
        <v>19.755082580457614</v>
      </c>
      <c r="G28" s="244">
        <v>31.043701197861971</v>
      </c>
      <c r="H28" s="244">
        <v>33.865855852213052</v>
      </c>
      <c r="I28" s="244">
        <v>50.798783778319589</v>
      </c>
      <c r="J28" s="244">
        <v>45.154474469617405</v>
      </c>
      <c r="K28" s="244">
        <v>16.932927926106526</v>
      </c>
      <c r="L28" s="244">
        <v>19.755082580457614</v>
      </c>
      <c r="M28" s="244">
        <v>16.932927926106526</v>
      </c>
      <c r="N28" s="244">
        <v>22.577237234808702</v>
      </c>
      <c r="O28" s="245">
        <v>299.14839336121531</v>
      </c>
    </row>
    <row r="29" spans="1:15" ht="13" x14ac:dyDescent="0.3">
      <c r="A29" s="238"/>
      <c r="B29" s="107" t="s">
        <v>27</v>
      </c>
      <c r="C29" s="243">
        <v>519.67292792610726</v>
      </c>
      <c r="D29" s="244">
        <v>433.06077327175615</v>
      </c>
      <c r="E29" s="244">
        <v>346.44861861740509</v>
      </c>
      <c r="F29" s="244">
        <v>606.28508258045918</v>
      </c>
      <c r="G29" s="244">
        <v>952.73370119786432</v>
      </c>
      <c r="H29" s="244">
        <v>1039.3458558522145</v>
      </c>
      <c r="I29" s="244">
        <v>1559.0187837783208</v>
      </c>
      <c r="J29" s="244">
        <v>1385.7944744696204</v>
      </c>
      <c r="K29" s="244">
        <v>519.67292792610726</v>
      </c>
      <c r="L29" s="244">
        <v>606.28508258045918</v>
      </c>
      <c r="M29" s="244">
        <v>519.67292792610726</v>
      </c>
      <c r="N29" s="244">
        <v>692.89723723481018</v>
      </c>
      <c r="O29" s="245">
        <v>9180.8883933612324</v>
      </c>
    </row>
    <row r="30" spans="1:15" x14ac:dyDescent="0.25">
      <c r="A30" s="238"/>
      <c r="B30" s="107" t="s">
        <v>49</v>
      </c>
      <c r="C30" s="108">
        <v>6558.66</v>
      </c>
      <c r="D30" s="96">
        <v>5465.5499999999993</v>
      </c>
      <c r="E30" s="96">
        <v>4372.4399999999996</v>
      </c>
      <c r="F30" s="96">
        <v>7651.7699999999995</v>
      </c>
      <c r="G30" s="96">
        <v>12024.21</v>
      </c>
      <c r="H30" s="96">
        <v>13117.32</v>
      </c>
      <c r="I30" s="96">
        <v>19675.98</v>
      </c>
      <c r="J30" s="96">
        <v>17489.759999999998</v>
      </c>
      <c r="K30" s="96">
        <v>6558.66</v>
      </c>
      <c r="L30" s="96">
        <v>7651.7699999999995</v>
      </c>
      <c r="M30" s="96">
        <v>6558.66</v>
      </c>
      <c r="N30" s="96">
        <v>8744.8799999999992</v>
      </c>
      <c r="O30" s="109">
        <v>115869.66</v>
      </c>
    </row>
    <row r="31" spans="1:15" x14ac:dyDescent="0.25">
      <c r="A31" s="238"/>
      <c r="B31" s="107" t="s">
        <v>87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5">
      <c r="A32" s="238"/>
      <c r="B32" s="107" t="s">
        <v>89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5">
      <c r="A33" s="97" t="s">
        <v>16</v>
      </c>
      <c r="B33" s="97" t="s">
        <v>70</v>
      </c>
      <c r="C33" s="104">
        <v>2353.8000000000002</v>
      </c>
      <c r="D33" s="105">
        <v>3530.7000000000003</v>
      </c>
      <c r="E33" s="105">
        <v>1176.9000000000001</v>
      </c>
      <c r="F33" s="105">
        <v>2353.8000000000002</v>
      </c>
      <c r="G33" s="105">
        <v>2353.8000000000002</v>
      </c>
      <c r="H33" s="105">
        <v>4707.6000000000004</v>
      </c>
      <c r="I33" s="105">
        <v>7061.4000000000005</v>
      </c>
      <c r="J33" s="105">
        <v>5884.5</v>
      </c>
      <c r="K33" s="105">
        <v>2353.8000000000002</v>
      </c>
      <c r="L33" s="105">
        <v>1176.9000000000001</v>
      </c>
      <c r="M33" s="105">
        <v>3530.7000000000003</v>
      </c>
      <c r="N33" s="105">
        <v>1176.9000000000001</v>
      </c>
      <c r="O33" s="106">
        <v>37660.799999999996</v>
      </c>
    </row>
    <row r="34" spans="1:15" ht="13" x14ac:dyDescent="0.3">
      <c r="A34" s="238"/>
      <c r="B34" s="107" t="s">
        <v>25</v>
      </c>
      <c r="C34" s="243">
        <v>167.58000000000038</v>
      </c>
      <c r="D34" s="244">
        <v>251.37000000000035</v>
      </c>
      <c r="E34" s="244">
        <v>83.790000000000191</v>
      </c>
      <c r="F34" s="244">
        <v>167.58000000000038</v>
      </c>
      <c r="G34" s="244">
        <v>167.58000000000038</v>
      </c>
      <c r="H34" s="244">
        <v>335.16000000000076</v>
      </c>
      <c r="I34" s="244">
        <v>502.74000000000069</v>
      </c>
      <c r="J34" s="244">
        <v>418.95000000000073</v>
      </c>
      <c r="K34" s="244">
        <v>167.58000000000038</v>
      </c>
      <c r="L34" s="244">
        <v>83.790000000000191</v>
      </c>
      <c r="M34" s="244">
        <v>251.37000000000035</v>
      </c>
      <c r="N34" s="244">
        <v>83.790000000000191</v>
      </c>
      <c r="O34" s="245">
        <v>2681.2800000000052</v>
      </c>
    </row>
    <row r="35" spans="1:15" ht="13" x14ac:dyDescent="0.3">
      <c r="A35" s="238"/>
      <c r="B35" s="107" t="s">
        <v>26</v>
      </c>
      <c r="C35" s="243">
        <v>5.6443093087021756</v>
      </c>
      <c r="D35" s="244">
        <v>8.466463963053263</v>
      </c>
      <c r="E35" s="244">
        <v>2.8221546543510878</v>
      </c>
      <c r="F35" s="244">
        <v>5.6443093087021756</v>
      </c>
      <c r="G35" s="244">
        <v>5.6443093087021756</v>
      </c>
      <c r="H35" s="244">
        <v>11.288618617404351</v>
      </c>
      <c r="I35" s="244">
        <v>16.932927926106526</v>
      </c>
      <c r="J35" s="244">
        <v>14.110773271755441</v>
      </c>
      <c r="K35" s="244">
        <v>5.6443093087021756</v>
      </c>
      <c r="L35" s="244">
        <v>2.8221546543510878</v>
      </c>
      <c r="M35" s="244">
        <v>8.466463963053263</v>
      </c>
      <c r="N35" s="244">
        <v>2.8221546543510878</v>
      </c>
      <c r="O35" s="245">
        <v>90.308948939234782</v>
      </c>
    </row>
    <row r="36" spans="1:15" ht="13" x14ac:dyDescent="0.3">
      <c r="A36" s="238"/>
      <c r="B36" s="107" t="s">
        <v>27</v>
      </c>
      <c r="C36" s="243">
        <v>173.22430930870254</v>
      </c>
      <c r="D36" s="244">
        <v>259.83646396305363</v>
      </c>
      <c r="E36" s="244">
        <v>86.612154654351272</v>
      </c>
      <c r="F36" s="244">
        <v>173.22430930870254</v>
      </c>
      <c r="G36" s="244">
        <v>173.22430930870254</v>
      </c>
      <c r="H36" s="244">
        <v>346.44861861740509</v>
      </c>
      <c r="I36" s="244">
        <v>519.67292792610726</v>
      </c>
      <c r="J36" s="244">
        <v>433.06077327175615</v>
      </c>
      <c r="K36" s="244">
        <v>173.22430930870254</v>
      </c>
      <c r="L36" s="244">
        <v>86.612154654351272</v>
      </c>
      <c r="M36" s="244">
        <v>259.83646396305363</v>
      </c>
      <c r="N36" s="244">
        <v>86.612154654351272</v>
      </c>
      <c r="O36" s="245">
        <v>2771.5889489392403</v>
      </c>
    </row>
    <row r="37" spans="1:15" x14ac:dyDescent="0.25">
      <c r="A37" s="238"/>
      <c r="B37" s="107" t="s">
        <v>49</v>
      </c>
      <c r="C37" s="108">
        <v>2186.2199999999998</v>
      </c>
      <c r="D37" s="96">
        <v>3279.33</v>
      </c>
      <c r="E37" s="96">
        <v>1093.1099999999999</v>
      </c>
      <c r="F37" s="96">
        <v>2186.2199999999998</v>
      </c>
      <c r="G37" s="96">
        <v>2186.2199999999998</v>
      </c>
      <c r="H37" s="96">
        <v>4372.4399999999996</v>
      </c>
      <c r="I37" s="96">
        <v>6558.66</v>
      </c>
      <c r="J37" s="96">
        <v>5465.5499999999993</v>
      </c>
      <c r="K37" s="96">
        <v>2186.2199999999998</v>
      </c>
      <c r="L37" s="96">
        <v>1093.1099999999999</v>
      </c>
      <c r="M37" s="96">
        <v>3279.33</v>
      </c>
      <c r="N37" s="96">
        <v>1093.1099999999999</v>
      </c>
      <c r="O37" s="109">
        <v>34979.519999999997</v>
      </c>
    </row>
    <row r="38" spans="1:15" x14ac:dyDescent="0.25">
      <c r="A38" s="238"/>
      <c r="B38" s="107" t="s">
        <v>87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5">
      <c r="A39" s="238"/>
      <c r="B39" s="107" t="s">
        <v>89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5">
      <c r="A40" s="97" t="s">
        <v>19</v>
      </c>
      <c r="B40" s="97" t="s">
        <v>70</v>
      </c>
      <c r="C40" s="104">
        <v>45899.100000000006</v>
      </c>
      <c r="D40" s="105">
        <v>48252.9</v>
      </c>
      <c r="E40" s="105">
        <v>42368.4</v>
      </c>
      <c r="F40" s="105">
        <v>36483.9</v>
      </c>
      <c r="G40" s="105">
        <v>37660.800000000003</v>
      </c>
      <c r="H40" s="105">
        <v>45899.100000000006</v>
      </c>
      <c r="I40" s="105">
        <v>51783.600000000006</v>
      </c>
      <c r="J40" s="105">
        <v>44722.200000000004</v>
      </c>
      <c r="K40" s="105">
        <v>48252.9</v>
      </c>
      <c r="L40" s="105">
        <v>49429.8</v>
      </c>
      <c r="M40" s="105">
        <v>52960.500000000007</v>
      </c>
      <c r="N40" s="105">
        <v>50606.700000000004</v>
      </c>
      <c r="O40" s="106">
        <v>554319.9</v>
      </c>
    </row>
    <row r="41" spans="1:15" ht="13" x14ac:dyDescent="0.3">
      <c r="A41" s="238"/>
      <c r="B41" s="107" t="s">
        <v>25</v>
      </c>
      <c r="C41" s="243">
        <v>3267.8100000000122</v>
      </c>
      <c r="D41" s="244">
        <v>3435.3900000000067</v>
      </c>
      <c r="E41" s="244">
        <v>3016.4400000000023</v>
      </c>
      <c r="F41" s="244">
        <v>2597.4900000000052</v>
      </c>
      <c r="G41" s="244">
        <v>2681.2800000000061</v>
      </c>
      <c r="H41" s="244">
        <v>3267.8100000000122</v>
      </c>
      <c r="I41" s="244">
        <v>3686.7600000000093</v>
      </c>
      <c r="J41" s="244">
        <v>3184.0200000000114</v>
      </c>
      <c r="K41" s="244">
        <v>3435.3900000000067</v>
      </c>
      <c r="L41" s="244">
        <v>3519.1800000000076</v>
      </c>
      <c r="M41" s="244">
        <v>3770.5500000000102</v>
      </c>
      <c r="N41" s="244">
        <v>3602.9700000000084</v>
      </c>
      <c r="O41" s="245">
        <v>39465.090000000098</v>
      </c>
    </row>
    <row r="42" spans="1:15" ht="13" x14ac:dyDescent="0.3">
      <c r="A42" s="238"/>
      <c r="B42" s="107" t="s">
        <v>26</v>
      </c>
      <c r="C42" s="243">
        <v>110.06403151969243</v>
      </c>
      <c r="D42" s="244">
        <v>115.70834082839461</v>
      </c>
      <c r="E42" s="244">
        <v>101.59756755663918</v>
      </c>
      <c r="F42" s="244">
        <v>87.486794284883729</v>
      </c>
      <c r="G42" s="244">
        <v>90.30894893923481</v>
      </c>
      <c r="H42" s="244">
        <v>110.06403151969243</v>
      </c>
      <c r="I42" s="244">
        <v>124.17480479144788</v>
      </c>
      <c r="J42" s="244">
        <v>107.24187686534135</v>
      </c>
      <c r="K42" s="244">
        <v>115.70834082839461</v>
      </c>
      <c r="L42" s="244">
        <v>118.53049548274569</v>
      </c>
      <c r="M42" s="244">
        <v>126.99695944579896</v>
      </c>
      <c r="N42" s="244">
        <v>121.35265013709679</v>
      </c>
      <c r="O42" s="245">
        <v>1329.2348421993627</v>
      </c>
    </row>
    <row r="43" spans="1:15" ht="13" x14ac:dyDescent="0.3">
      <c r="A43" s="238"/>
      <c r="B43" s="107" t="s">
        <v>27</v>
      </c>
      <c r="C43" s="243">
        <v>3377.8740315197047</v>
      </c>
      <c r="D43" s="244">
        <v>3551.0983408284014</v>
      </c>
      <c r="E43" s="244">
        <v>3118.0375675566415</v>
      </c>
      <c r="F43" s="244">
        <v>2684.9767942848889</v>
      </c>
      <c r="G43" s="244">
        <v>2771.5889489392407</v>
      </c>
      <c r="H43" s="244">
        <v>3377.8740315197047</v>
      </c>
      <c r="I43" s="244">
        <v>3810.9348047914573</v>
      </c>
      <c r="J43" s="244">
        <v>3291.2618768653529</v>
      </c>
      <c r="K43" s="244">
        <v>3551.0983408284014</v>
      </c>
      <c r="L43" s="244">
        <v>3637.7104954827532</v>
      </c>
      <c r="M43" s="244">
        <v>3897.5469594458091</v>
      </c>
      <c r="N43" s="244">
        <v>3724.322650137105</v>
      </c>
      <c r="O43" s="245">
        <v>40794.324842199458</v>
      </c>
    </row>
    <row r="44" spans="1:15" x14ac:dyDescent="0.25">
      <c r="A44" s="238"/>
      <c r="B44" s="107" t="s">
        <v>49</v>
      </c>
      <c r="C44" s="108">
        <v>42631.289999999994</v>
      </c>
      <c r="D44" s="96">
        <v>44817.509999999995</v>
      </c>
      <c r="E44" s="96">
        <v>39351.96</v>
      </c>
      <c r="F44" s="96">
        <v>33886.409999999996</v>
      </c>
      <c r="G44" s="96">
        <v>34979.519999999997</v>
      </c>
      <c r="H44" s="96">
        <v>42631.289999999994</v>
      </c>
      <c r="I44" s="96">
        <v>48096.84</v>
      </c>
      <c r="J44" s="96">
        <v>41538.179999999993</v>
      </c>
      <c r="K44" s="96">
        <v>44817.509999999995</v>
      </c>
      <c r="L44" s="96">
        <v>45910.619999999995</v>
      </c>
      <c r="M44" s="96">
        <v>49189.95</v>
      </c>
      <c r="N44" s="96">
        <v>47003.729999999996</v>
      </c>
      <c r="O44" s="109">
        <v>514854.80999999994</v>
      </c>
    </row>
    <row r="45" spans="1:15" x14ac:dyDescent="0.25">
      <c r="A45" s="238"/>
      <c r="B45" s="107" t="s">
        <v>87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5">
      <c r="A46" s="238"/>
      <c r="B46" s="107" t="s">
        <v>89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5">
      <c r="A47" s="97" t="s">
        <v>8</v>
      </c>
      <c r="B47" s="97" t="s">
        <v>70</v>
      </c>
      <c r="C47" s="104">
        <v>89444.400000000009</v>
      </c>
      <c r="D47" s="105">
        <v>90621.3</v>
      </c>
      <c r="E47" s="105">
        <v>100036.50000000001</v>
      </c>
      <c r="F47" s="105">
        <v>96505.8</v>
      </c>
      <c r="G47" s="105">
        <v>137697.30000000002</v>
      </c>
      <c r="H47" s="105">
        <v>154173.90000000002</v>
      </c>
      <c r="I47" s="105">
        <v>173004.30000000002</v>
      </c>
      <c r="J47" s="105">
        <v>165942.90000000002</v>
      </c>
      <c r="K47" s="105">
        <v>130635.90000000001</v>
      </c>
      <c r="L47" s="105">
        <v>115336.20000000001</v>
      </c>
      <c r="M47" s="105">
        <v>87090.6</v>
      </c>
      <c r="N47" s="105">
        <v>91798.200000000012</v>
      </c>
      <c r="O47" s="106">
        <v>1432287.3</v>
      </c>
    </row>
    <row r="48" spans="1:15" ht="13" x14ac:dyDescent="0.3">
      <c r="A48" s="238"/>
      <c r="B48" s="107" t="s">
        <v>25</v>
      </c>
      <c r="C48" s="243">
        <v>6368.0400000000227</v>
      </c>
      <c r="D48" s="244">
        <v>6451.8300000000163</v>
      </c>
      <c r="E48" s="244">
        <v>7122.1500000000233</v>
      </c>
      <c r="F48" s="244">
        <v>6870.7800000000134</v>
      </c>
      <c r="G48" s="244">
        <v>9803.4300000000221</v>
      </c>
      <c r="H48" s="244">
        <v>10976.490000000049</v>
      </c>
      <c r="I48" s="244">
        <v>12317.130000000034</v>
      </c>
      <c r="J48" s="244">
        <v>11814.390000000043</v>
      </c>
      <c r="K48" s="244">
        <v>9300.6900000000169</v>
      </c>
      <c r="L48" s="244">
        <v>8211.4200000000274</v>
      </c>
      <c r="M48" s="244">
        <v>6200.4600000000064</v>
      </c>
      <c r="N48" s="244">
        <v>6535.6200000000244</v>
      </c>
      <c r="O48" s="245">
        <v>101972.4300000003</v>
      </c>
    </row>
    <row r="49" spans="1:15" ht="13" x14ac:dyDescent="0.3">
      <c r="A49" s="238"/>
      <c r="B49" s="107" t="s">
        <v>26</v>
      </c>
      <c r="C49" s="243">
        <v>214.48375373068271</v>
      </c>
      <c r="D49" s="244">
        <v>217.30590838503377</v>
      </c>
      <c r="E49" s="244">
        <v>239.88314561984248</v>
      </c>
      <c r="F49" s="244">
        <v>231.41668165678922</v>
      </c>
      <c r="G49" s="244">
        <v>330.1920945590773</v>
      </c>
      <c r="H49" s="244">
        <v>369.70225971999253</v>
      </c>
      <c r="I49" s="244">
        <v>414.85673418960994</v>
      </c>
      <c r="J49" s="244">
        <v>397.92380626350342</v>
      </c>
      <c r="K49" s="244">
        <v>313.25916663297073</v>
      </c>
      <c r="L49" s="244">
        <v>276.57115612640661</v>
      </c>
      <c r="M49" s="244">
        <v>208.83944442198052</v>
      </c>
      <c r="N49" s="244">
        <v>220.12806303938487</v>
      </c>
      <c r="O49" s="245">
        <v>3434.5622143452747</v>
      </c>
    </row>
    <row r="50" spans="1:15" ht="13" x14ac:dyDescent="0.3">
      <c r="A50" s="238"/>
      <c r="B50" s="107" t="s">
        <v>27</v>
      </c>
      <c r="C50" s="243">
        <v>6582.5237537307057</v>
      </c>
      <c r="D50" s="244">
        <v>6669.1359083850502</v>
      </c>
      <c r="E50" s="244">
        <v>7362.0331456198655</v>
      </c>
      <c r="F50" s="244">
        <v>7102.1966816568029</v>
      </c>
      <c r="G50" s="244">
        <v>10133.622094559099</v>
      </c>
      <c r="H50" s="244">
        <v>11346.192259720041</v>
      </c>
      <c r="I50" s="244">
        <v>12731.986734189644</v>
      </c>
      <c r="J50" s="244">
        <v>12212.313806263546</v>
      </c>
      <c r="K50" s="244">
        <v>9613.9491666329868</v>
      </c>
      <c r="L50" s="244">
        <v>8487.9911561264344</v>
      </c>
      <c r="M50" s="244">
        <v>6409.2994444219867</v>
      </c>
      <c r="N50" s="244">
        <v>6755.7480630394093</v>
      </c>
      <c r="O50" s="245">
        <v>105406.99221434556</v>
      </c>
    </row>
    <row r="51" spans="1:15" x14ac:dyDescent="0.25">
      <c r="A51" s="238"/>
      <c r="B51" s="107" t="s">
        <v>49</v>
      </c>
      <c r="C51" s="108">
        <v>83076.359999999986</v>
      </c>
      <c r="D51" s="96">
        <v>84169.469999999987</v>
      </c>
      <c r="E51" s="96">
        <v>92914.349999999991</v>
      </c>
      <c r="F51" s="96">
        <v>89635.01999999999</v>
      </c>
      <c r="G51" s="96">
        <v>127893.87</v>
      </c>
      <c r="H51" s="96">
        <v>143197.40999999997</v>
      </c>
      <c r="I51" s="96">
        <v>160687.16999999998</v>
      </c>
      <c r="J51" s="96">
        <v>154128.50999999998</v>
      </c>
      <c r="K51" s="96">
        <v>121335.20999999999</v>
      </c>
      <c r="L51" s="96">
        <v>107124.77999999998</v>
      </c>
      <c r="M51" s="96">
        <v>80890.14</v>
      </c>
      <c r="N51" s="96">
        <v>85262.579999999987</v>
      </c>
      <c r="O51" s="109">
        <v>1330314.8699999999</v>
      </c>
    </row>
    <row r="52" spans="1:15" x14ac:dyDescent="0.25">
      <c r="A52" s="238"/>
      <c r="B52" s="107" t="s">
        <v>87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5">
      <c r="A53" s="238"/>
      <c r="B53" s="107" t="s">
        <v>89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5">
      <c r="A54" s="97" t="s">
        <v>21</v>
      </c>
      <c r="B54" s="97" t="s">
        <v>70</v>
      </c>
      <c r="C54" s="104">
        <v>3036402.0000000005</v>
      </c>
      <c r="D54" s="105">
        <v>2998741.2</v>
      </c>
      <c r="E54" s="105">
        <v>2948134.5</v>
      </c>
      <c r="F54" s="105">
        <v>3102308.4000000004</v>
      </c>
      <c r="G54" s="105">
        <v>3425955.9000000004</v>
      </c>
      <c r="H54" s="105">
        <v>4123857.6</v>
      </c>
      <c r="I54" s="105">
        <v>4382775.6000000006</v>
      </c>
      <c r="J54" s="105">
        <v>4558133.7</v>
      </c>
      <c r="K54" s="105">
        <v>3941438.1</v>
      </c>
      <c r="L54" s="105">
        <v>3282374.1</v>
      </c>
      <c r="M54" s="105">
        <v>2803375.8000000003</v>
      </c>
      <c r="N54" s="105">
        <v>2957549.7</v>
      </c>
      <c r="O54" s="106">
        <v>41561046.600000001</v>
      </c>
    </row>
    <row r="55" spans="1:15" ht="13" x14ac:dyDescent="0.3">
      <c r="A55" s="238"/>
      <c r="B55" s="107" t="s">
        <v>25</v>
      </c>
      <c r="C55" s="243">
        <v>216178.20000000065</v>
      </c>
      <c r="D55" s="244">
        <v>213496.92000000039</v>
      </c>
      <c r="E55" s="244">
        <v>209893.95000000019</v>
      </c>
      <c r="F55" s="244">
        <v>220870.44000000041</v>
      </c>
      <c r="G55" s="244">
        <v>243912.69000000088</v>
      </c>
      <c r="H55" s="244">
        <v>293600.16000000061</v>
      </c>
      <c r="I55" s="244">
        <v>312033.96000000089</v>
      </c>
      <c r="J55" s="244">
        <v>324518.67000000086</v>
      </c>
      <c r="K55" s="244">
        <v>280612.71000000043</v>
      </c>
      <c r="L55" s="244">
        <v>233690.31000000052</v>
      </c>
      <c r="M55" s="244">
        <v>199587.78000000073</v>
      </c>
      <c r="N55" s="244">
        <v>210564.27000000048</v>
      </c>
      <c r="O55" s="245">
        <v>2958960.060000007</v>
      </c>
    </row>
    <row r="56" spans="1:15" ht="13" x14ac:dyDescent="0.3">
      <c r="A56" s="238"/>
      <c r="B56" s="107" t="s">
        <v>26</v>
      </c>
      <c r="C56" s="243">
        <v>7281.1590082258072</v>
      </c>
      <c r="D56" s="244">
        <v>7190.8500592865721</v>
      </c>
      <c r="E56" s="244">
        <v>7069.497409149476</v>
      </c>
      <c r="F56" s="244">
        <v>7439.199668869469</v>
      </c>
      <c r="G56" s="244">
        <v>8215.2921988160178</v>
      </c>
      <c r="H56" s="244">
        <v>9888.8299088462118</v>
      </c>
      <c r="I56" s="244">
        <v>10509.703932803452</v>
      </c>
      <c r="J56" s="244">
        <v>10930.204976301764</v>
      </c>
      <c r="K56" s="244">
        <v>9451.3959374217939</v>
      </c>
      <c r="L56" s="244">
        <v>7870.989330985185</v>
      </c>
      <c r="M56" s="244">
        <v>6722.3723866642913</v>
      </c>
      <c r="N56" s="244">
        <v>7092.0746463842843</v>
      </c>
      <c r="O56" s="245">
        <v>99661.569463754335</v>
      </c>
    </row>
    <row r="57" spans="1:15" ht="13" x14ac:dyDescent="0.3">
      <c r="A57" s="238"/>
      <c r="B57" s="107" t="s">
        <v>27</v>
      </c>
      <c r="C57" s="243">
        <v>223459.35900822646</v>
      </c>
      <c r="D57" s="244">
        <v>220687.77005928697</v>
      </c>
      <c r="E57" s="244">
        <v>216963.44740914967</v>
      </c>
      <c r="F57" s="244">
        <v>228309.63966886987</v>
      </c>
      <c r="G57" s="244">
        <v>252127.9821988169</v>
      </c>
      <c r="H57" s="244">
        <v>303488.98990884685</v>
      </c>
      <c r="I57" s="244">
        <v>322543.66393280437</v>
      </c>
      <c r="J57" s="244">
        <v>335448.87497630261</v>
      </c>
      <c r="K57" s="244">
        <v>290064.10593742219</v>
      </c>
      <c r="L57" s="244">
        <v>241561.2993309857</v>
      </c>
      <c r="M57" s="244">
        <v>206310.15238666502</v>
      </c>
      <c r="N57" s="244">
        <v>217656.34464638476</v>
      </c>
      <c r="O57" s="245">
        <v>3058621.6294637611</v>
      </c>
    </row>
    <row r="58" spans="1:15" x14ac:dyDescent="0.25">
      <c r="A58" s="238"/>
      <c r="B58" s="107" t="s">
        <v>49</v>
      </c>
      <c r="C58" s="108">
        <v>2820223.8</v>
      </c>
      <c r="D58" s="96">
        <v>2785244.28</v>
      </c>
      <c r="E58" s="96">
        <v>2738240.55</v>
      </c>
      <c r="F58" s="96">
        <v>2881437.96</v>
      </c>
      <c r="G58" s="96">
        <v>3182043.2099999995</v>
      </c>
      <c r="H58" s="96">
        <v>3830257.4399999995</v>
      </c>
      <c r="I58" s="96">
        <v>4070741.6399999997</v>
      </c>
      <c r="J58" s="96">
        <v>4233615.0299999993</v>
      </c>
      <c r="K58" s="96">
        <v>3660825.3899999997</v>
      </c>
      <c r="L58" s="96">
        <v>3048683.7899999996</v>
      </c>
      <c r="M58" s="96">
        <v>2603788.0199999996</v>
      </c>
      <c r="N58" s="96">
        <v>2746985.4299999997</v>
      </c>
      <c r="O58" s="109">
        <v>38602086.539999999</v>
      </c>
    </row>
    <row r="59" spans="1:15" x14ac:dyDescent="0.25">
      <c r="A59" s="238"/>
      <c r="B59" s="107" t="s">
        <v>87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5">
      <c r="A60" s="238"/>
      <c r="B60" s="107" t="s">
        <v>89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5">
      <c r="A61" s="97" t="s">
        <v>22</v>
      </c>
      <c r="B61" s="97" t="s">
        <v>70</v>
      </c>
      <c r="C61" s="104">
        <v>3135261.6</v>
      </c>
      <c r="D61" s="105">
        <v>3292966.2</v>
      </c>
      <c r="E61" s="105">
        <v>2850451.8000000003</v>
      </c>
      <c r="F61" s="105">
        <v>3023456.1</v>
      </c>
      <c r="G61" s="105">
        <v>3057586.2</v>
      </c>
      <c r="H61" s="105">
        <v>3727242.3000000003</v>
      </c>
      <c r="I61" s="105">
        <v>3973214.4000000004</v>
      </c>
      <c r="J61" s="105">
        <v>4070897.1</v>
      </c>
      <c r="K61" s="105">
        <v>3734303.7</v>
      </c>
      <c r="L61" s="105">
        <v>3014040.9000000004</v>
      </c>
      <c r="M61" s="105">
        <v>2773953.3000000003</v>
      </c>
      <c r="N61" s="105">
        <v>3214113.9000000004</v>
      </c>
      <c r="O61" s="106">
        <v>39867487.5</v>
      </c>
    </row>
    <row r="62" spans="1:15" ht="13" x14ac:dyDescent="0.3">
      <c r="A62" s="238"/>
      <c r="B62" s="107" t="s">
        <v>25</v>
      </c>
      <c r="C62" s="243">
        <v>223216.56000000052</v>
      </c>
      <c r="D62" s="244">
        <v>234444.42000000039</v>
      </c>
      <c r="E62" s="244">
        <v>202939.38000000035</v>
      </c>
      <c r="F62" s="244">
        <v>215256.51000000024</v>
      </c>
      <c r="G62" s="244">
        <v>217686.42000000039</v>
      </c>
      <c r="H62" s="244">
        <v>265362.93000000063</v>
      </c>
      <c r="I62" s="244">
        <v>282875.0400000005</v>
      </c>
      <c r="J62" s="244">
        <v>289829.61000000034</v>
      </c>
      <c r="K62" s="244">
        <v>265865.67000000039</v>
      </c>
      <c r="L62" s="244">
        <v>214586.19000000041</v>
      </c>
      <c r="M62" s="244">
        <v>197493.03000000073</v>
      </c>
      <c r="N62" s="244">
        <v>228830.49000000069</v>
      </c>
      <c r="O62" s="245">
        <v>2838386.2500000056</v>
      </c>
    </row>
    <row r="63" spans="1:15" ht="13" x14ac:dyDescent="0.3">
      <c r="A63" s="238"/>
      <c r="B63" s="107" t="s">
        <v>26</v>
      </c>
      <c r="C63" s="243">
        <v>7518.2199991912994</v>
      </c>
      <c r="D63" s="244">
        <v>7896.3887228743442</v>
      </c>
      <c r="E63" s="244">
        <v>6835.2585728383356</v>
      </c>
      <c r="F63" s="244">
        <v>7250.1153070279452</v>
      </c>
      <c r="G63" s="244">
        <v>7331.9577920041265</v>
      </c>
      <c r="H63" s="244">
        <v>8937.7637903298964</v>
      </c>
      <c r="I63" s="244">
        <v>9527.5941130892734</v>
      </c>
      <c r="J63" s="244">
        <v>9761.8329494004138</v>
      </c>
      <c r="K63" s="244">
        <v>8954.696718256002</v>
      </c>
      <c r="L63" s="244">
        <v>7227.5380697931369</v>
      </c>
      <c r="M63" s="244">
        <v>6651.8185203055154</v>
      </c>
      <c r="N63" s="244">
        <v>7707.3043610328214</v>
      </c>
      <c r="O63" s="245">
        <v>95600.488916143106</v>
      </c>
    </row>
    <row r="64" spans="1:15" ht="13" x14ac:dyDescent="0.3">
      <c r="A64" s="238"/>
      <c r="B64" s="107" t="s">
        <v>27</v>
      </c>
      <c r="C64" s="243">
        <v>230734.77999919181</v>
      </c>
      <c r="D64" s="244">
        <v>242340.80872287473</v>
      </c>
      <c r="E64" s="244">
        <v>209774.63857283868</v>
      </c>
      <c r="F64" s="244">
        <v>222506.62530702818</v>
      </c>
      <c r="G64" s="244">
        <v>225018.37779200452</v>
      </c>
      <c r="H64" s="244">
        <v>274300.69379033055</v>
      </c>
      <c r="I64" s="244">
        <v>292402.63411308976</v>
      </c>
      <c r="J64" s="244">
        <v>299591.44294940075</v>
      </c>
      <c r="K64" s="244">
        <v>274820.36671825638</v>
      </c>
      <c r="L64" s="244">
        <v>221813.72806979355</v>
      </c>
      <c r="M64" s="244">
        <v>204144.84852030623</v>
      </c>
      <c r="N64" s="244">
        <v>236537.79436103351</v>
      </c>
      <c r="O64" s="245">
        <v>2933986.7389161489</v>
      </c>
    </row>
    <row r="65" spans="1:15" x14ac:dyDescent="0.25">
      <c r="A65" s="238"/>
      <c r="B65" s="107" t="s">
        <v>49</v>
      </c>
      <c r="C65" s="108">
        <v>2912045.0399999996</v>
      </c>
      <c r="D65" s="96">
        <v>3058521.78</v>
      </c>
      <c r="E65" s="96">
        <v>2647512.42</v>
      </c>
      <c r="F65" s="96">
        <v>2808199.59</v>
      </c>
      <c r="G65" s="96">
        <v>2839899.78</v>
      </c>
      <c r="H65" s="96">
        <v>3461879.3699999996</v>
      </c>
      <c r="I65" s="96">
        <v>3690339.36</v>
      </c>
      <c r="J65" s="96">
        <v>3781067.4899999998</v>
      </c>
      <c r="K65" s="96">
        <v>3468438.03</v>
      </c>
      <c r="L65" s="96">
        <v>2799454.71</v>
      </c>
      <c r="M65" s="96">
        <v>2576460.2699999996</v>
      </c>
      <c r="N65" s="96">
        <v>2985283.4099999997</v>
      </c>
      <c r="O65" s="109">
        <v>37029101.249999993</v>
      </c>
    </row>
    <row r="66" spans="1:15" x14ac:dyDescent="0.25">
      <c r="A66" s="238"/>
      <c r="B66" s="107" t="s">
        <v>87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5">
      <c r="A67" s="238"/>
      <c r="B67" s="107" t="s">
        <v>89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5">
      <c r="A68" s="97" t="s">
        <v>9</v>
      </c>
      <c r="B68" s="97" t="s">
        <v>70</v>
      </c>
      <c r="C68" s="104">
        <v>47076</v>
      </c>
      <c r="D68" s="105">
        <v>49429.8</v>
      </c>
      <c r="E68" s="105">
        <v>34130.100000000006</v>
      </c>
      <c r="F68" s="105">
        <v>37660.800000000003</v>
      </c>
      <c r="G68" s="105">
        <v>28245.600000000002</v>
      </c>
      <c r="H68" s="105">
        <v>37660.800000000003</v>
      </c>
      <c r="I68" s="105">
        <v>49429.8</v>
      </c>
      <c r="J68" s="105">
        <v>45899.100000000006</v>
      </c>
      <c r="K68" s="105">
        <v>42368.4</v>
      </c>
      <c r="L68" s="105">
        <v>40014.600000000006</v>
      </c>
      <c r="M68" s="105">
        <v>43545.3</v>
      </c>
      <c r="N68" s="105">
        <v>48252.9</v>
      </c>
      <c r="O68" s="106">
        <v>503713.2</v>
      </c>
    </row>
    <row r="69" spans="1:15" ht="13" x14ac:dyDescent="0.3">
      <c r="A69" s="238"/>
      <c r="B69" s="107" t="s">
        <v>25</v>
      </c>
      <c r="C69" s="243">
        <v>3351.6000000000058</v>
      </c>
      <c r="D69" s="244">
        <v>3519.1800000000076</v>
      </c>
      <c r="E69" s="244">
        <v>2429.9100000000071</v>
      </c>
      <c r="F69" s="244">
        <v>2681.2800000000061</v>
      </c>
      <c r="G69" s="244">
        <v>2010.9600000000028</v>
      </c>
      <c r="H69" s="244">
        <v>2681.2800000000061</v>
      </c>
      <c r="I69" s="244">
        <v>3519.1800000000076</v>
      </c>
      <c r="J69" s="244">
        <v>3267.8100000000122</v>
      </c>
      <c r="K69" s="244">
        <v>3016.4400000000023</v>
      </c>
      <c r="L69" s="244">
        <v>2848.8600000000079</v>
      </c>
      <c r="M69" s="244">
        <v>3100.2300000000032</v>
      </c>
      <c r="N69" s="244">
        <v>3435.3900000000067</v>
      </c>
      <c r="O69" s="245">
        <v>35862.120000000075</v>
      </c>
    </row>
    <row r="70" spans="1:15" ht="13" x14ac:dyDescent="0.3">
      <c r="A70" s="238"/>
      <c r="B70" s="107" t="s">
        <v>26</v>
      </c>
      <c r="C70" s="243">
        <v>112.88618617404353</v>
      </c>
      <c r="D70" s="244">
        <v>118.53049548274569</v>
      </c>
      <c r="E70" s="244">
        <v>81.842484976181552</v>
      </c>
      <c r="F70" s="244">
        <v>90.30894893923481</v>
      </c>
      <c r="G70" s="244">
        <v>67.731711704426104</v>
      </c>
      <c r="H70" s="244">
        <v>90.30894893923481</v>
      </c>
      <c r="I70" s="244">
        <v>118.53049548274569</v>
      </c>
      <c r="J70" s="244">
        <v>110.06403151969243</v>
      </c>
      <c r="K70" s="244">
        <v>101.59756755663918</v>
      </c>
      <c r="L70" s="244">
        <v>95.953258247937001</v>
      </c>
      <c r="M70" s="244">
        <v>104.41972221099026</v>
      </c>
      <c r="N70" s="244">
        <v>115.70834082839461</v>
      </c>
      <c r="O70" s="245">
        <v>1207.8821920622656</v>
      </c>
    </row>
    <row r="71" spans="1:15" ht="13" x14ac:dyDescent="0.3">
      <c r="A71" s="238"/>
      <c r="B71" s="107" t="s">
        <v>27</v>
      </c>
      <c r="C71" s="243">
        <v>3464.4861861740492</v>
      </c>
      <c r="D71" s="244">
        <v>3637.7104954827532</v>
      </c>
      <c r="E71" s="244">
        <v>2511.7524849761885</v>
      </c>
      <c r="F71" s="244">
        <v>2771.5889489392407</v>
      </c>
      <c r="G71" s="244">
        <v>2078.6917117044291</v>
      </c>
      <c r="H71" s="244">
        <v>2771.5889489392407</v>
      </c>
      <c r="I71" s="244">
        <v>3637.7104954827532</v>
      </c>
      <c r="J71" s="244">
        <v>3377.8740315197047</v>
      </c>
      <c r="K71" s="244">
        <v>3118.0375675566415</v>
      </c>
      <c r="L71" s="244">
        <v>2944.8132582479448</v>
      </c>
      <c r="M71" s="244">
        <v>3204.6497222109933</v>
      </c>
      <c r="N71" s="244">
        <v>3551.0983408284014</v>
      </c>
      <c r="O71" s="245">
        <v>37070.00219206234</v>
      </c>
    </row>
    <row r="72" spans="1:15" x14ac:dyDescent="0.25">
      <c r="A72" s="238"/>
      <c r="B72" s="107" t="s">
        <v>49</v>
      </c>
      <c r="C72" s="108">
        <v>43724.399999999994</v>
      </c>
      <c r="D72" s="96">
        <v>45910.619999999995</v>
      </c>
      <c r="E72" s="96">
        <v>31700.19</v>
      </c>
      <c r="F72" s="96">
        <v>34979.519999999997</v>
      </c>
      <c r="G72" s="96">
        <v>26234.639999999999</v>
      </c>
      <c r="H72" s="96">
        <v>34979.519999999997</v>
      </c>
      <c r="I72" s="96">
        <v>45910.619999999995</v>
      </c>
      <c r="J72" s="96">
        <v>42631.289999999994</v>
      </c>
      <c r="K72" s="96">
        <v>39351.96</v>
      </c>
      <c r="L72" s="96">
        <v>37165.74</v>
      </c>
      <c r="M72" s="96">
        <v>40445.07</v>
      </c>
      <c r="N72" s="96">
        <v>44817.509999999995</v>
      </c>
      <c r="O72" s="109">
        <v>467851.08</v>
      </c>
    </row>
    <row r="73" spans="1:15" x14ac:dyDescent="0.25">
      <c r="A73" s="238"/>
      <c r="B73" s="107" t="s">
        <v>87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5">
      <c r="A74" s="238"/>
      <c r="B74" s="107" t="s">
        <v>89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5">
      <c r="A75" s="97" t="s">
        <v>54</v>
      </c>
      <c r="B75" s="97" t="s">
        <v>70</v>
      </c>
      <c r="C75" s="104">
        <v>128282.1</v>
      </c>
      <c r="D75" s="105">
        <v>122397.6</v>
      </c>
      <c r="E75" s="105">
        <v>102390.3</v>
      </c>
      <c r="F75" s="105">
        <v>120043.8</v>
      </c>
      <c r="G75" s="105">
        <v>108274.8</v>
      </c>
      <c r="H75" s="105">
        <v>168296.7</v>
      </c>
      <c r="I75" s="105">
        <v>162412.20000000001</v>
      </c>
      <c r="J75" s="105">
        <v>178888.80000000002</v>
      </c>
      <c r="K75" s="105">
        <v>160058.40000000002</v>
      </c>
      <c r="L75" s="105">
        <v>125928.3</v>
      </c>
      <c r="M75" s="105">
        <v>111805.50000000001</v>
      </c>
      <c r="N75" s="105">
        <v>116513.1</v>
      </c>
      <c r="O75" s="106">
        <v>1605291.6000000003</v>
      </c>
    </row>
    <row r="76" spans="1:15" x14ac:dyDescent="0.25">
      <c r="A76" s="238"/>
      <c r="B76" s="107" t="s">
        <v>25</v>
      </c>
      <c r="C76" s="108">
        <v>9133.1100000000151</v>
      </c>
      <c r="D76" s="96">
        <v>8714.160000000018</v>
      </c>
      <c r="E76" s="96">
        <v>7289.7300000000105</v>
      </c>
      <c r="F76" s="96">
        <v>8546.5800000000163</v>
      </c>
      <c r="G76" s="96">
        <v>7708.6800000000076</v>
      </c>
      <c r="H76" s="96">
        <v>11981.97000000003</v>
      </c>
      <c r="I76" s="96">
        <v>11563.020000000019</v>
      </c>
      <c r="J76" s="96">
        <v>12736.080000000045</v>
      </c>
      <c r="K76" s="96">
        <v>11395.440000000031</v>
      </c>
      <c r="L76" s="96">
        <v>8965.5300000000134</v>
      </c>
      <c r="M76" s="96">
        <v>7960.0500000000175</v>
      </c>
      <c r="N76" s="96">
        <v>8295.210000000021</v>
      </c>
      <c r="O76" s="109">
        <v>114289.56000000025</v>
      </c>
    </row>
    <row r="77" spans="1:15" x14ac:dyDescent="0.25">
      <c r="A77" s="238"/>
      <c r="B77" s="107" t="s">
        <v>26</v>
      </c>
      <c r="C77" s="108">
        <v>307.6148573242686</v>
      </c>
      <c r="D77" s="96">
        <v>293.50408405251318</v>
      </c>
      <c r="E77" s="96">
        <v>245.52745492854467</v>
      </c>
      <c r="F77" s="96">
        <v>287.85977474381099</v>
      </c>
      <c r="G77" s="96">
        <v>259.63822820030009</v>
      </c>
      <c r="H77" s="96">
        <v>403.56811557220561</v>
      </c>
      <c r="I77" s="96">
        <v>389.45734230045014</v>
      </c>
      <c r="J77" s="96">
        <v>428.96750746136541</v>
      </c>
      <c r="K77" s="96">
        <v>383.813032991748</v>
      </c>
      <c r="L77" s="96">
        <v>301.97054801556646</v>
      </c>
      <c r="M77" s="96">
        <v>268.10469216335332</v>
      </c>
      <c r="N77" s="96">
        <v>279.3933107807577</v>
      </c>
      <c r="O77" s="109">
        <v>3849.4189485348843</v>
      </c>
    </row>
    <row r="78" spans="1:15" x14ac:dyDescent="0.25">
      <c r="A78" s="238"/>
      <c r="B78" s="107" t="s">
        <v>27</v>
      </c>
      <c r="C78" s="108">
        <v>9440.7248573242832</v>
      </c>
      <c r="D78" s="96">
        <v>9007.6640840525306</v>
      </c>
      <c r="E78" s="96">
        <v>7535.2574549285555</v>
      </c>
      <c r="F78" s="96">
        <v>8834.439774743827</v>
      </c>
      <c r="G78" s="96">
        <v>7968.3182282003072</v>
      </c>
      <c r="H78" s="96">
        <v>12385.538115572235</v>
      </c>
      <c r="I78" s="96">
        <v>11952.477342300468</v>
      </c>
      <c r="J78" s="96">
        <v>13165.047507461411</v>
      </c>
      <c r="K78" s="96">
        <v>11779.253032991779</v>
      </c>
      <c r="L78" s="96">
        <v>9267.5005480155796</v>
      </c>
      <c r="M78" s="96">
        <v>8228.1546921633708</v>
      </c>
      <c r="N78" s="96">
        <v>8574.603310780778</v>
      </c>
      <c r="O78" s="109">
        <v>118138.97894853512</v>
      </c>
    </row>
    <row r="79" spans="1:15" x14ac:dyDescent="0.25">
      <c r="A79" s="238"/>
      <c r="B79" s="107" t="s">
        <v>49</v>
      </c>
      <c r="C79" s="108">
        <v>119148.98999999999</v>
      </c>
      <c r="D79" s="96">
        <v>113683.43999999999</v>
      </c>
      <c r="E79" s="96">
        <v>95100.569999999992</v>
      </c>
      <c r="F79" s="96">
        <v>111497.21999999999</v>
      </c>
      <c r="G79" s="96">
        <v>100566.12</v>
      </c>
      <c r="H79" s="96">
        <v>156314.72999999998</v>
      </c>
      <c r="I79" s="96">
        <v>150849.18</v>
      </c>
      <c r="J79" s="96">
        <v>166152.71999999997</v>
      </c>
      <c r="K79" s="96">
        <v>148662.96</v>
      </c>
      <c r="L79" s="96">
        <v>116962.76999999999</v>
      </c>
      <c r="M79" s="96">
        <v>103845.45</v>
      </c>
      <c r="N79" s="96">
        <v>108217.88999999998</v>
      </c>
      <c r="O79" s="109">
        <v>1491002.0399999998</v>
      </c>
    </row>
    <row r="80" spans="1:15" x14ac:dyDescent="0.25">
      <c r="A80" s="238"/>
      <c r="B80" s="107" t="s">
        <v>87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5">
      <c r="A81" s="238"/>
      <c r="B81" s="107" t="s">
        <v>89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5">
      <c r="A82" s="97" t="s">
        <v>55</v>
      </c>
      <c r="B82" s="97" t="s">
        <v>70</v>
      </c>
      <c r="C82" s="104">
        <v>12945.900000000001</v>
      </c>
      <c r="D82" s="105">
        <v>11769</v>
      </c>
      <c r="E82" s="105">
        <v>11769</v>
      </c>
      <c r="F82" s="105">
        <v>8238.3000000000011</v>
      </c>
      <c r="G82" s="105">
        <v>15299.7</v>
      </c>
      <c r="H82" s="105">
        <v>14122.800000000001</v>
      </c>
      <c r="I82" s="105">
        <v>17653.5</v>
      </c>
      <c r="J82" s="105">
        <v>14122.800000000001</v>
      </c>
      <c r="K82" s="105">
        <v>16476.600000000002</v>
      </c>
      <c r="L82" s="105">
        <v>12945.900000000001</v>
      </c>
      <c r="M82" s="105">
        <v>10592.1</v>
      </c>
      <c r="N82" s="105">
        <v>9415.2000000000007</v>
      </c>
      <c r="O82" s="106">
        <v>155350.80000000005</v>
      </c>
    </row>
    <row r="83" spans="1:15" x14ac:dyDescent="0.25">
      <c r="A83" s="238"/>
      <c r="B83" s="107" t="s">
        <v>25</v>
      </c>
      <c r="C83" s="108">
        <v>921.69000000000233</v>
      </c>
      <c r="D83" s="96">
        <v>837.90000000000146</v>
      </c>
      <c r="E83" s="96">
        <v>837.90000000000146</v>
      </c>
      <c r="F83" s="96">
        <v>586.53000000000156</v>
      </c>
      <c r="G83" s="96">
        <v>1089.2700000000023</v>
      </c>
      <c r="H83" s="96">
        <v>1005.4800000000014</v>
      </c>
      <c r="I83" s="96">
        <v>1256.8500000000022</v>
      </c>
      <c r="J83" s="96">
        <v>1005.4800000000014</v>
      </c>
      <c r="K83" s="96">
        <v>1173.0600000000031</v>
      </c>
      <c r="L83" s="96">
        <v>921.69000000000233</v>
      </c>
      <c r="M83" s="96">
        <v>754.11000000000058</v>
      </c>
      <c r="N83" s="96">
        <v>670.32000000000153</v>
      </c>
      <c r="O83" s="109">
        <v>11060.280000000022</v>
      </c>
    </row>
    <row r="84" spans="1:15" x14ac:dyDescent="0.25">
      <c r="A84" s="238"/>
      <c r="B84" s="107" t="s">
        <v>26</v>
      </c>
      <c r="C84" s="108">
        <v>31.043701197861971</v>
      </c>
      <c r="D84" s="96">
        <v>28.221546543510883</v>
      </c>
      <c r="E84" s="96">
        <v>28.221546543510883</v>
      </c>
      <c r="F84" s="96">
        <v>19.755082580457614</v>
      </c>
      <c r="G84" s="96">
        <v>36.688010506564147</v>
      </c>
      <c r="H84" s="96">
        <v>33.865855852213052</v>
      </c>
      <c r="I84" s="96">
        <v>42.332319815266324</v>
      </c>
      <c r="J84" s="96">
        <v>33.865855852213052</v>
      </c>
      <c r="K84" s="96">
        <v>39.510165160915228</v>
      </c>
      <c r="L84" s="96">
        <v>31.043701197861971</v>
      </c>
      <c r="M84" s="96">
        <v>25.399391889159794</v>
      </c>
      <c r="N84" s="96">
        <v>22.577237234808702</v>
      </c>
      <c r="O84" s="109">
        <v>372.52441437434368</v>
      </c>
    </row>
    <row r="85" spans="1:15" x14ac:dyDescent="0.25">
      <c r="A85" s="238"/>
      <c r="B85" s="107" t="s">
        <v>27</v>
      </c>
      <c r="C85" s="108">
        <v>952.73370119786432</v>
      </c>
      <c r="D85" s="96">
        <v>866.1215465435123</v>
      </c>
      <c r="E85" s="96">
        <v>866.1215465435123</v>
      </c>
      <c r="F85" s="96">
        <v>606.28508258045918</v>
      </c>
      <c r="G85" s="96">
        <v>1125.9580105065663</v>
      </c>
      <c r="H85" s="96">
        <v>1039.3458558522145</v>
      </c>
      <c r="I85" s="96">
        <v>1299.1823198152686</v>
      </c>
      <c r="J85" s="96">
        <v>1039.3458558522145</v>
      </c>
      <c r="K85" s="96">
        <v>1212.5701651609184</v>
      </c>
      <c r="L85" s="96">
        <v>952.73370119786432</v>
      </c>
      <c r="M85" s="96">
        <v>779.50939188916038</v>
      </c>
      <c r="N85" s="96">
        <v>692.89723723481018</v>
      </c>
      <c r="O85" s="109">
        <v>11432.804414374366</v>
      </c>
    </row>
    <row r="86" spans="1:15" x14ac:dyDescent="0.25">
      <c r="A86" s="238"/>
      <c r="B86" s="107" t="s">
        <v>49</v>
      </c>
      <c r="C86" s="108">
        <v>12024.21</v>
      </c>
      <c r="D86" s="96">
        <v>10931.099999999999</v>
      </c>
      <c r="E86" s="96">
        <v>10931.099999999999</v>
      </c>
      <c r="F86" s="96">
        <v>7651.7699999999995</v>
      </c>
      <c r="G86" s="96">
        <v>14210.429999999998</v>
      </c>
      <c r="H86" s="96">
        <v>13117.32</v>
      </c>
      <c r="I86" s="96">
        <v>16396.649999999998</v>
      </c>
      <c r="J86" s="96">
        <v>13117.32</v>
      </c>
      <c r="K86" s="96">
        <v>15303.539999999999</v>
      </c>
      <c r="L86" s="96">
        <v>12024.21</v>
      </c>
      <c r="M86" s="96">
        <v>9837.99</v>
      </c>
      <c r="N86" s="96">
        <v>8744.8799999999992</v>
      </c>
      <c r="O86" s="109">
        <v>144290.51999999999</v>
      </c>
    </row>
    <row r="87" spans="1:15" x14ac:dyDescent="0.25">
      <c r="A87" s="238"/>
      <c r="B87" s="107" t="s">
        <v>87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5">
      <c r="A88" s="238"/>
      <c r="B88" s="107" t="s">
        <v>89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5">
      <c r="A89" s="97" t="s">
        <v>56</v>
      </c>
      <c r="B89" s="97" t="s">
        <v>70</v>
      </c>
      <c r="C89" s="104">
        <v>23538</v>
      </c>
      <c r="D89" s="105">
        <v>22361.100000000002</v>
      </c>
      <c r="E89" s="105">
        <v>22361.100000000002</v>
      </c>
      <c r="F89" s="105">
        <v>24714.9</v>
      </c>
      <c r="G89" s="105">
        <v>27068.7</v>
      </c>
      <c r="H89" s="105">
        <v>34130.100000000006</v>
      </c>
      <c r="I89" s="105">
        <v>38837.700000000004</v>
      </c>
      <c r="J89" s="105">
        <v>40014.600000000006</v>
      </c>
      <c r="K89" s="105">
        <v>35307</v>
      </c>
      <c r="L89" s="105">
        <v>24714.9</v>
      </c>
      <c r="M89" s="105">
        <v>18830.400000000001</v>
      </c>
      <c r="N89" s="105">
        <v>22361.100000000002</v>
      </c>
      <c r="O89" s="106">
        <v>334239.60000000009</v>
      </c>
    </row>
    <row r="90" spans="1:15" x14ac:dyDescent="0.25">
      <c r="A90" s="238"/>
      <c r="B90" s="107" t="s">
        <v>25</v>
      </c>
      <c r="C90" s="108">
        <v>1675.8000000000029</v>
      </c>
      <c r="D90" s="96">
        <v>1592.0100000000057</v>
      </c>
      <c r="E90" s="96">
        <v>1592.0100000000057</v>
      </c>
      <c r="F90" s="96">
        <v>1759.5900000000038</v>
      </c>
      <c r="G90" s="96">
        <v>1927.1700000000019</v>
      </c>
      <c r="H90" s="96">
        <v>2429.9100000000071</v>
      </c>
      <c r="I90" s="96">
        <v>2765.070000000007</v>
      </c>
      <c r="J90" s="96">
        <v>2848.8600000000079</v>
      </c>
      <c r="K90" s="96">
        <v>2513.7000000000044</v>
      </c>
      <c r="L90" s="96">
        <v>1759.5900000000038</v>
      </c>
      <c r="M90" s="96">
        <v>1340.6400000000031</v>
      </c>
      <c r="N90" s="96">
        <v>1592.0100000000057</v>
      </c>
      <c r="O90" s="109">
        <v>23796.360000000059</v>
      </c>
    </row>
    <row r="91" spans="1:15" x14ac:dyDescent="0.25">
      <c r="A91" s="238"/>
      <c r="B91" s="107" t="s">
        <v>26</v>
      </c>
      <c r="C91" s="108">
        <v>56.443093087021765</v>
      </c>
      <c r="D91" s="96">
        <v>53.620938432670677</v>
      </c>
      <c r="E91" s="96">
        <v>53.620938432670677</v>
      </c>
      <c r="F91" s="96">
        <v>59.265247741372846</v>
      </c>
      <c r="G91" s="96">
        <v>64.909557050075023</v>
      </c>
      <c r="H91" s="96">
        <v>81.842484976181552</v>
      </c>
      <c r="I91" s="96">
        <v>93.131103593585905</v>
      </c>
      <c r="J91" s="96">
        <v>95.953258247937001</v>
      </c>
      <c r="K91" s="96">
        <v>84.664639630532648</v>
      </c>
      <c r="L91" s="96">
        <v>59.265247741372846</v>
      </c>
      <c r="M91" s="96">
        <v>45.154474469617405</v>
      </c>
      <c r="N91" s="96">
        <v>53.620938432670677</v>
      </c>
      <c r="O91" s="109">
        <v>801.49192183570892</v>
      </c>
    </row>
    <row r="92" spans="1:15" x14ac:dyDescent="0.25">
      <c r="A92" s="238"/>
      <c r="B92" s="107" t="s">
        <v>27</v>
      </c>
      <c r="C92" s="108">
        <v>1732.2430930870246</v>
      </c>
      <c r="D92" s="96">
        <v>1645.6309384326764</v>
      </c>
      <c r="E92" s="96">
        <v>1645.6309384326764</v>
      </c>
      <c r="F92" s="96">
        <v>1818.8552477413766</v>
      </c>
      <c r="G92" s="96">
        <v>1992.0795570500768</v>
      </c>
      <c r="H92" s="96">
        <v>2511.7524849761885</v>
      </c>
      <c r="I92" s="96">
        <v>2858.201103593593</v>
      </c>
      <c r="J92" s="96">
        <v>2944.8132582479448</v>
      </c>
      <c r="K92" s="96">
        <v>2598.3646396305371</v>
      </c>
      <c r="L92" s="96">
        <v>1818.8552477413766</v>
      </c>
      <c r="M92" s="96">
        <v>1385.7944744696204</v>
      </c>
      <c r="N92" s="96">
        <v>1645.6309384326764</v>
      </c>
      <c r="O92" s="109">
        <v>24597.851921835769</v>
      </c>
    </row>
    <row r="93" spans="1:15" x14ac:dyDescent="0.25">
      <c r="A93" s="238"/>
      <c r="B93" s="107" t="s">
        <v>49</v>
      </c>
      <c r="C93" s="108">
        <v>21862.199999999997</v>
      </c>
      <c r="D93" s="96">
        <v>20769.089999999997</v>
      </c>
      <c r="E93" s="96">
        <v>20769.089999999997</v>
      </c>
      <c r="F93" s="96">
        <v>22955.309999999998</v>
      </c>
      <c r="G93" s="96">
        <v>25141.53</v>
      </c>
      <c r="H93" s="96">
        <v>31700.19</v>
      </c>
      <c r="I93" s="96">
        <v>36072.629999999997</v>
      </c>
      <c r="J93" s="96">
        <v>37165.74</v>
      </c>
      <c r="K93" s="96">
        <v>32793.299999999996</v>
      </c>
      <c r="L93" s="96">
        <v>22955.309999999998</v>
      </c>
      <c r="M93" s="96">
        <v>17489.759999999998</v>
      </c>
      <c r="N93" s="96">
        <v>20769.089999999997</v>
      </c>
      <c r="O93" s="109">
        <v>310443.24</v>
      </c>
    </row>
    <row r="94" spans="1:15" x14ac:dyDescent="0.25">
      <c r="A94" s="238"/>
      <c r="B94" s="107" t="s">
        <v>87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5">
      <c r="A95" s="238"/>
      <c r="B95" s="107" t="s">
        <v>89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5">
      <c r="A96" s="97" t="s">
        <v>57</v>
      </c>
      <c r="B96" s="97" t="s">
        <v>70</v>
      </c>
      <c r="C96" s="104">
        <v>41191.5</v>
      </c>
      <c r="D96" s="105">
        <v>40014.600000000006</v>
      </c>
      <c r="E96" s="105">
        <v>35307</v>
      </c>
      <c r="F96" s="105">
        <v>37660.800000000003</v>
      </c>
      <c r="G96" s="105">
        <v>42368.4</v>
      </c>
      <c r="H96" s="105">
        <v>49429.8</v>
      </c>
      <c r="I96" s="105">
        <v>55314.3</v>
      </c>
      <c r="J96" s="105">
        <v>56491.200000000004</v>
      </c>
      <c r="K96" s="105">
        <v>51783.600000000006</v>
      </c>
      <c r="L96" s="105">
        <v>35307</v>
      </c>
      <c r="M96" s="105">
        <v>36483.9</v>
      </c>
      <c r="N96" s="105">
        <v>40014.600000000006</v>
      </c>
      <c r="O96" s="106">
        <v>521366.70000000007</v>
      </c>
    </row>
    <row r="97" spans="1:15" x14ac:dyDescent="0.25">
      <c r="A97" s="238"/>
      <c r="B97" s="107" t="s">
        <v>25</v>
      </c>
      <c r="C97" s="108">
        <v>2932.6500000000015</v>
      </c>
      <c r="D97" s="96">
        <v>2848.8600000000079</v>
      </c>
      <c r="E97" s="96">
        <v>2513.7000000000044</v>
      </c>
      <c r="F97" s="96">
        <v>2681.2800000000061</v>
      </c>
      <c r="G97" s="96">
        <v>3016.4400000000023</v>
      </c>
      <c r="H97" s="96">
        <v>3519.1800000000076</v>
      </c>
      <c r="I97" s="96">
        <v>3938.1300000000047</v>
      </c>
      <c r="J97" s="96">
        <v>4021.9200000000055</v>
      </c>
      <c r="K97" s="96">
        <v>3686.7600000000093</v>
      </c>
      <c r="L97" s="96">
        <v>2513.7000000000044</v>
      </c>
      <c r="M97" s="96">
        <v>2597.4900000000052</v>
      </c>
      <c r="N97" s="96">
        <v>2848.8600000000079</v>
      </c>
      <c r="O97" s="109">
        <v>37118.970000000067</v>
      </c>
    </row>
    <row r="98" spans="1:15" x14ac:dyDescent="0.25">
      <c r="A98" s="238"/>
      <c r="B98" s="107" t="s">
        <v>26</v>
      </c>
      <c r="C98" s="108">
        <v>98.775412902288082</v>
      </c>
      <c r="D98" s="96">
        <v>95.953258247937001</v>
      </c>
      <c r="E98" s="96">
        <v>84.664639630532648</v>
      </c>
      <c r="F98" s="96">
        <v>90.30894893923481</v>
      </c>
      <c r="G98" s="96">
        <v>101.59756755663918</v>
      </c>
      <c r="H98" s="96">
        <v>118.53049548274569</v>
      </c>
      <c r="I98" s="96">
        <v>132.64126875450114</v>
      </c>
      <c r="J98" s="96">
        <v>135.46342340885221</v>
      </c>
      <c r="K98" s="96">
        <v>124.17480479144788</v>
      </c>
      <c r="L98" s="96">
        <v>84.664639630532648</v>
      </c>
      <c r="M98" s="96">
        <v>87.486794284883729</v>
      </c>
      <c r="N98" s="96">
        <v>95.953258247937001</v>
      </c>
      <c r="O98" s="109">
        <v>1250.214511877532</v>
      </c>
    </row>
    <row r="99" spans="1:15" x14ac:dyDescent="0.25">
      <c r="A99" s="238"/>
      <c r="B99" s="107" t="s">
        <v>27</v>
      </c>
      <c r="C99" s="108">
        <v>3031.4254129022897</v>
      </c>
      <c r="D99" s="96">
        <v>2944.8132582479448</v>
      </c>
      <c r="E99" s="96">
        <v>2598.3646396305371</v>
      </c>
      <c r="F99" s="96">
        <v>2771.5889489392407</v>
      </c>
      <c r="G99" s="96">
        <v>3118.0375675566415</v>
      </c>
      <c r="H99" s="96">
        <v>3637.7104954827532</v>
      </c>
      <c r="I99" s="96">
        <v>4070.7712687545059</v>
      </c>
      <c r="J99" s="96">
        <v>4157.3834234088581</v>
      </c>
      <c r="K99" s="96">
        <v>3810.9348047914573</v>
      </c>
      <c r="L99" s="96">
        <v>2598.3646396305371</v>
      </c>
      <c r="M99" s="96">
        <v>2684.9767942848889</v>
      </c>
      <c r="N99" s="96">
        <v>2944.8132582479448</v>
      </c>
      <c r="O99" s="109">
        <v>38369.184511877604</v>
      </c>
    </row>
    <row r="100" spans="1:15" x14ac:dyDescent="0.25">
      <c r="A100" s="238"/>
      <c r="B100" s="107" t="s">
        <v>49</v>
      </c>
      <c r="C100" s="108">
        <v>38258.85</v>
      </c>
      <c r="D100" s="96">
        <v>37165.74</v>
      </c>
      <c r="E100" s="96">
        <v>32793.299999999996</v>
      </c>
      <c r="F100" s="96">
        <v>34979.519999999997</v>
      </c>
      <c r="G100" s="96">
        <v>39351.96</v>
      </c>
      <c r="H100" s="96">
        <v>45910.619999999995</v>
      </c>
      <c r="I100" s="96">
        <v>51376.17</v>
      </c>
      <c r="J100" s="96">
        <v>52469.279999999999</v>
      </c>
      <c r="K100" s="96">
        <v>48096.84</v>
      </c>
      <c r="L100" s="96">
        <v>32793.299999999996</v>
      </c>
      <c r="M100" s="96">
        <v>33886.409999999996</v>
      </c>
      <c r="N100" s="96">
        <v>37165.74</v>
      </c>
      <c r="O100" s="109">
        <v>484247.72999999986</v>
      </c>
    </row>
    <row r="101" spans="1:15" x14ac:dyDescent="0.25">
      <c r="A101" s="238"/>
      <c r="B101" s="107" t="s">
        <v>87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5">
      <c r="A102" s="238"/>
      <c r="B102" s="107" t="s">
        <v>89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5">
      <c r="A103" s="97" t="s">
        <v>81</v>
      </c>
      <c r="B103" s="97" t="s">
        <v>70</v>
      </c>
      <c r="C103" s="104">
        <v>170650.5</v>
      </c>
      <c r="D103" s="105">
        <v>171827.40000000002</v>
      </c>
      <c r="E103" s="105">
        <v>114159.3</v>
      </c>
      <c r="F103" s="105">
        <v>110628.6</v>
      </c>
      <c r="G103" s="105">
        <v>124751.40000000001</v>
      </c>
      <c r="H103" s="105">
        <v>155350.80000000002</v>
      </c>
      <c r="I103" s="105">
        <v>163589.1</v>
      </c>
      <c r="J103" s="105">
        <v>160058.40000000002</v>
      </c>
      <c r="K103" s="105">
        <v>136520.40000000002</v>
      </c>
      <c r="L103" s="105">
        <v>91798.200000000012</v>
      </c>
      <c r="M103" s="105">
        <v>128282.1</v>
      </c>
      <c r="N103" s="105">
        <v>168296.7</v>
      </c>
      <c r="O103" s="106">
        <v>1695912.9</v>
      </c>
    </row>
    <row r="104" spans="1:15" x14ac:dyDescent="0.25">
      <c r="A104" s="238"/>
      <c r="B104" s="107" t="s">
        <v>25</v>
      </c>
      <c r="C104" s="108">
        <v>12149.550000000017</v>
      </c>
      <c r="D104" s="96">
        <v>12233.340000000026</v>
      </c>
      <c r="E104" s="96">
        <v>8127.6300000000192</v>
      </c>
      <c r="F104" s="96">
        <v>7876.2600000000093</v>
      </c>
      <c r="G104" s="96">
        <v>8881.7400000000198</v>
      </c>
      <c r="H104" s="96">
        <v>11060.280000000028</v>
      </c>
      <c r="I104" s="96">
        <v>11646.810000000027</v>
      </c>
      <c r="J104" s="96">
        <v>11395.440000000031</v>
      </c>
      <c r="K104" s="96">
        <v>9719.6400000000285</v>
      </c>
      <c r="L104" s="96">
        <v>6535.6200000000244</v>
      </c>
      <c r="M104" s="96">
        <v>9133.1100000000151</v>
      </c>
      <c r="N104" s="96">
        <v>11981.97000000003</v>
      </c>
      <c r="O104" s="109">
        <v>120741.39000000028</v>
      </c>
    </row>
    <row r="105" spans="1:15" x14ac:dyDescent="0.25">
      <c r="A105" s="238"/>
      <c r="B105" s="107" t="s">
        <v>26</v>
      </c>
      <c r="C105" s="108">
        <v>409.21242488090775</v>
      </c>
      <c r="D105" s="96">
        <v>412.03457953525884</v>
      </c>
      <c r="E105" s="96">
        <v>273.74900147205551</v>
      </c>
      <c r="F105" s="96">
        <v>265.28253750900228</v>
      </c>
      <c r="G105" s="96">
        <v>299.14839336121537</v>
      </c>
      <c r="H105" s="96">
        <v>372.52441437434362</v>
      </c>
      <c r="I105" s="96">
        <v>392.27949695480123</v>
      </c>
      <c r="J105" s="96">
        <v>383.813032991748</v>
      </c>
      <c r="K105" s="96">
        <v>327.36993990472621</v>
      </c>
      <c r="L105" s="96">
        <v>220.12806303938487</v>
      </c>
      <c r="M105" s="96">
        <v>307.6148573242686</v>
      </c>
      <c r="N105" s="96">
        <v>403.56811557220561</v>
      </c>
      <c r="O105" s="109">
        <v>4066.7248569199178</v>
      </c>
    </row>
    <row r="106" spans="1:15" x14ac:dyDescent="0.25">
      <c r="A106" s="238"/>
      <c r="B106" s="107" t="s">
        <v>27</v>
      </c>
      <c r="C106" s="108">
        <v>12558.762424880926</v>
      </c>
      <c r="D106" s="96">
        <v>12645.374579535284</v>
      </c>
      <c r="E106" s="96">
        <v>8401.3790014720744</v>
      </c>
      <c r="F106" s="96">
        <v>8141.5425375090117</v>
      </c>
      <c r="G106" s="96">
        <v>9180.888393361236</v>
      </c>
      <c r="H106" s="96">
        <v>11432.804414374372</v>
      </c>
      <c r="I106" s="96">
        <v>12039.089496954828</v>
      </c>
      <c r="J106" s="96">
        <v>11779.253032991779</v>
      </c>
      <c r="K106" s="96">
        <v>10047.009939904754</v>
      </c>
      <c r="L106" s="96">
        <v>6755.7480630394093</v>
      </c>
      <c r="M106" s="96">
        <v>9440.7248573242832</v>
      </c>
      <c r="N106" s="96">
        <v>12385.538115572235</v>
      </c>
      <c r="O106" s="109">
        <v>124808.11485692018</v>
      </c>
    </row>
    <row r="107" spans="1:15" x14ac:dyDescent="0.25">
      <c r="A107" s="238"/>
      <c r="B107" s="107" t="s">
        <v>49</v>
      </c>
      <c r="C107" s="108">
        <v>158500.94999999998</v>
      </c>
      <c r="D107" s="96">
        <v>159594.06</v>
      </c>
      <c r="E107" s="96">
        <v>106031.66999999998</v>
      </c>
      <c r="F107" s="96">
        <v>102752.34</v>
      </c>
      <c r="G107" s="96">
        <v>115869.65999999999</v>
      </c>
      <c r="H107" s="96">
        <v>144290.51999999999</v>
      </c>
      <c r="I107" s="96">
        <v>151942.28999999998</v>
      </c>
      <c r="J107" s="96">
        <v>148662.96</v>
      </c>
      <c r="K107" s="96">
        <v>126800.76</v>
      </c>
      <c r="L107" s="96">
        <v>85262.579999999987</v>
      </c>
      <c r="M107" s="96">
        <v>119148.98999999999</v>
      </c>
      <c r="N107" s="96">
        <v>156314.72999999998</v>
      </c>
      <c r="O107" s="109">
        <v>1575171.51</v>
      </c>
    </row>
    <row r="108" spans="1:15" x14ac:dyDescent="0.25">
      <c r="A108" s="238"/>
      <c r="B108" s="107" t="s">
        <v>87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5">
      <c r="A109" s="238"/>
      <c r="B109" s="107" t="s">
        <v>89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5">
      <c r="A110" s="97" t="s">
        <v>83</v>
      </c>
      <c r="B110" s="97" t="s">
        <v>70</v>
      </c>
      <c r="C110" s="104">
        <v>48252.9</v>
      </c>
      <c r="D110" s="105">
        <v>40014.600000000006</v>
      </c>
      <c r="E110" s="105">
        <v>29422.500000000004</v>
      </c>
      <c r="F110" s="105">
        <v>36483.9</v>
      </c>
      <c r="G110" s="105">
        <v>32953.200000000004</v>
      </c>
      <c r="H110" s="105">
        <v>54137.4</v>
      </c>
      <c r="I110" s="105">
        <v>54137.4</v>
      </c>
      <c r="J110" s="105">
        <v>50606.700000000004</v>
      </c>
      <c r="K110" s="105">
        <v>48252.9</v>
      </c>
      <c r="L110" s="105">
        <v>37660.800000000003</v>
      </c>
      <c r="M110" s="105">
        <v>35307</v>
      </c>
      <c r="N110" s="105">
        <v>45899.100000000006</v>
      </c>
      <c r="O110" s="106">
        <v>513128.4</v>
      </c>
    </row>
    <row r="111" spans="1:15" x14ac:dyDescent="0.25">
      <c r="A111" s="238"/>
      <c r="B111" s="107" t="s">
        <v>25</v>
      </c>
      <c r="C111" s="108">
        <v>3435.3900000000067</v>
      </c>
      <c r="D111" s="96">
        <v>2848.8600000000079</v>
      </c>
      <c r="E111" s="96">
        <v>2094.7500000000073</v>
      </c>
      <c r="F111" s="96">
        <v>2597.4900000000052</v>
      </c>
      <c r="G111" s="96">
        <v>2346.1200000000063</v>
      </c>
      <c r="H111" s="96">
        <v>3854.3400000000038</v>
      </c>
      <c r="I111" s="96">
        <v>3854.3400000000038</v>
      </c>
      <c r="J111" s="96">
        <v>3602.9700000000084</v>
      </c>
      <c r="K111" s="96">
        <v>3435.3900000000067</v>
      </c>
      <c r="L111" s="96">
        <v>2681.2800000000061</v>
      </c>
      <c r="M111" s="96">
        <v>2513.7000000000044</v>
      </c>
      <c r="N111" s="96">
        <v>3267.8100000000122</v>
      </c>
      <c r="O111" s="109">
        <v>36532.440000000075</v>
      </c>
    </row>
    <row r="112" spans="1:15" x14ac:dyDescent="0.25">
      <c r="A112" s="238"/>
      <c r="B112" s="107" t="s">
        <v>26</v>
      </c>
      <c r="C112" s="108">
        <v>115.70834082839461</v>
      </c>
      <c r="D112" s="96">
        <v>95.953258247937001</v>
      </c>
      <c r="E112" s="96">
        <v>70.553866358777199</v>
      </c>
      <c r="F112" s="96">
        <v>87.486794284883729</v>
      </c>
      <c r="G112" s="96">
        <v>79.020330321830457</v>
      </c>
      <c r="H112" s="96">
        <v>129.81911410015005</v>
      </c>
      <c r="I112" s="96">
        <v>129.81911410015005</v>
      </c>
      <c r="J112" s="96">
        <v>121.35265013709679</v>
      </c>
      <c r="K112" s="96">
        <v>115.70834082839461</v>
      </c>
      <c r="L112" s="96">
        <v>90.30894893923481</v>
      </c>
      <c r="M112" s="96">
        <v>84.664639630532648</v>
      </c>
      <c r="N112" s="96">
        <v>110.06403151969243</v>
      </c>
      <c r="O112" s="109">
        <v>1230.4594292970744</v>
      </c>
    </row>
    <row r="113" spans="1:15" x14ac:dyDescent="0.25">
      <c r="A113" s="238"/>
      <c r="B113" s="107" t="s">
        <v>27</v>
      </c>
      <c r="C113" s="108">
        <v>3551.0983408284014</v>
      </c>
      <c r="D113" s="96">
        <v>2944.8132582479448</v>
      </c>
      <c r="E113" s="96">
        <v>2165.3038663587845</v>
      </c>
      <c r="F113" s="96">
        <v>2684.9767942848889</v>
      </c>
      <c r="G113" s="96">
        <v>2425.1403303218367</v>
      </c>
      <c r="H113" s="96">
        <v>3984.1591141001536</v>
      </c>
      <c r="I113" s="96">
        <v>3984.1591141001536</v>
      </c>
      <c r="J113" s="96">
        <v>3724.322650137105</v>
      </c>
      <c r="K113" s="96">
        <v>3551.0983408284014</v>
      </c>
      <c r="L113" s="96">
        <v>2771.5889489392407</v>
      </c>
      <c r="M113" s="96">
        <v>2598.3646396305371</v>
      </c>
      <c r="N113" s="96">
        <v>3377.8740315197047</v>
      </c>
      <c r="O113" s="109">
        <v>37762.899429297155</v>
      </c>
    </row>
    <row r="114" spans="1:15" x14ac:dyDescent="0.25">
      <c r="A114" s="238"/>
      <c r="B114" s="107" t="s">
        <v>49</v>
      </c>
      <c r="C114" s="108">
        <v>44817.509999999995</v>
      </c>
      <c r="D114" s="96">
        <v>37165.74</v>
      </c>
      <c r="E114" s="96">
        <v>27327.749999999996</v>
      </c>
      <c r="F114" s="96">
        <v>33886.409999999996</v>
      </c>
      <c r="G114" s="96">
        <v>30607.079999999998</v>
      </c>
      <c r="H114" s="96">
        <v>50283.06</v>
      </c>
      <c r="I114" s="96">
        <v>50283.06</v>
      </c>
      <c r="J114" s="96">
        <v>47003.729999999996</v>
      </c>
      <c r="K114" s="96">
        <v>44817.509999999995</v>
      </c>
      <c r="L114" s="96">
        <v>34979.519999999997</v>
      </c>
      <c r="M114" s="96">
        <v>32793.299999999996</v>
      </c>
      <c r="N114" s="96">
        <v>42631.289999999994</v>
      </c>
      <c r="O114" s="109">
        <v>476595.95999999996</v>
      </c>
    </row>
    <row r="115" spans="1:15" x14ac:dyDescent="0.25">
      <c r="A115" s="238"/>
      <c r="B115" s="107" t="s">
        <v>87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5">
      <c r="A116" s="238"/>
      <c r="B116" s="107" t="s">
        <v>89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5">
      <c r="A117" s="97" t="s">
        <v>71</v>
      </c>
      <c r="B117" s="98"/>
      <c r="C117" s="104">
        <v>8944440</v>
      </c>
      <c r="D117" s="105">
        <v>9026823.0000000019</v>
      </c>
      <c r="E117" s="105">
        <v>7615719.8999999985</v>
      </c>
      <c r="F117" s="105">
        <v>8247715.2000000011</v>
      </c>
      <c r="G117" s="105">
        <v>8605492.8000000007</v>
      </c>
      <c r="H117" s="105">
        <v>10641529.800000003</v>
      </c>
      <c r="I117" s="105">
        <v>11310009</v>
      </c>
      <c r="J117" s="105">
        <v>11653663.800000001</v>
      </c>
      <c r="K117" s="105">
        <v>10284929.100000001</v>
      </c>
      <c r="L117" s="105">
        <v>8536055.7000000011</v>
      </c>
      <c r="M117" s="105">
        <v>7880522.4000000013</v>
      </c>
      <c r="N117" s="105">
        <v>8925609.5999999996</v>
      </c>
      <c r="O117" s="106">
        <v>111672510.3</v>
      </c>
    </row>
    <row r="118" spans="1:15" ht="13" x14ac:dyDescent="0.3">
      <c r="A118" s="97" t="s">
        <v>28</v>
      </c>
      <c r="B118" s="98"/>
      <c r="C118" s="246">
        <v>636804.00000000186</v>
      </c>
      <c r="D118" s="247">
        <v>642669.30000000133</v>
      </c>
      <c r="E118" s="247">
        <v>542205.09000000067</v>
      </c>
      <c r="F118" s="247">
        <v>587200.32000000111</v>
      </c>
      <c r="G118" s="247">
        <v>612672.48000000149</v>
      </c>
      <c r="H118" s="247">
        <v>757629.18000000191</v>
      </c>
      <c r="I118" s="247">
        <v>805221.900000002</v>
      </c>
      <c r="J118" s="247">
        <v>829688.5800000017</v>
      </c>
      <c r="K118" s="247">
        <v>732240.8100000011</v>
      </c>
      <c r="L118" s="247">
        <v>607728.87000000128</v>
      </c>
      <c r="M118" s="247">
        <v>561057.84000000183</v>
      </c>
      <c r="N118" s="247">
        <v>635463.36000000173</v>
      </c>
      <c r="O118" s="248">
        <v>7950581.7300000191</v>
      </c>
    </row>
    <row r="119" spans="1:15" ht="13" x14ac:dyDescent="0.3">
      <c r="A119" s="97" t="s">
        <v>29</v>
      </c>
      <c r="B119" s="98"/>
      <c r="C119" s="246">
        <v>21448.375373068269</v>
      </c>
      <c r="D119" s="247">
        <v>21645.926198872847</v>
      </c>
      <c r="E119" s="247">
        <v>18262.162768305894</v>
      </c>
      <c r="F119" s="247">
        <v>19777.65981769242</v>
      </c>
      <c r="G119" s="247">
        <v>20635.594832615156</v>
      </c>
      <c r="H119" s="247">
        <v>25517.922384642541</v>
      </c>
      <c r="I119" s="247">
        <v>27120.906228313957</v>
      </c>
      <c r="J119" s="247">
        <v>27944.975387384475</v>
      </c>
      <c r="K119" s="247">
        <v>24662.809524374159</v>
      </c>
      <c r="L119" s="247">
        <v>20469.087708008443</v>
      </c>
      <c r="M119" s="247">
        <v>18897.147565534888</v>
      </c>
      <c r="N119" s="247">
        <v>21403.220898598651</v>
      </c>
      <c r="O119" s="248">
        <v>267785.78868741164</v>
      </c>
    </row>
    <row r="120" spans="1:15" ht="13" x14ac:dyDescent="0.3">
      <c r="A120" s="97" t="s">
        <v>30</v>
      </c>
      <c r="B120" s="98"/>
      <c r="C120" s="246">
        <v>658252.37537307001</v>
      </c>
      <c r="D120" s="247">
        <v>664315.22619887406</v>
      </c>
      <c r="E120" s="247">
        <v>560467.25276830664</v>
      </c>
      <c r="F120" s="247">
        <v>606977.97981769335</v>
      </c>
      <c r="G120" s="247">
        <v>633308.07483261672</v>
      </c>
      <c r="H120" s="247">
        <v>783147.10238464444</v>
      </c>
      <c r="I120" s="247">
        <v>832342.80622831592</v>
      </c>
      <c r="J120" s="247">
        <v>857633.55538738612</v>
      </c>
      <c r="K120" s="247">
        <v>756903.61952437542</v>
      </c>
      <c r="L120" s="247">
        <v>628197.95770800975</v>
      </c>
      <c r="M120" s="247">
        <v>579954.98756553675</v>
      </c>
      <c r="N120" s="247">
        <v>656866.58089860051</v>
      </c>
      <c r="O120" s="248">
        <v>8218367.5186874308</v>
      </c>
    </row>
    <row r="121" spans="1:15" x14ac:dyDescent="0.25">
      <c r="A121" s="97" t="s">
        <v>61</v>
      </c>
      <c r="B121" s="98"/>
      <c r="C121" s="104">
        <v>8307635.9999999991</v>
      </c>
      <c r="D121" s="105">
        <v>8384153.7000000002</v>
      </c>
      <c r="E121" s="105">
        <v>7073514.8099999996</v>
      </c>
      <c r="F121" s="105">
        <v>7660514.8799999971</v>
      </c>
      <c r="G121" s="105">
        <v>7992820.3199999984</v>
      </c>
      <c r="H121" s="105">
        <v>9883900.6199999973</v>
      </c>
      <c r="I121" s="105">
        <v>10504787.099999998</v>
      </c>
      <c r="J121" s="105">
        <v>10823975.219999999</v>
      </c>
      <c r="K121" s="105">
        <v>9552688.290000001</v>
      </c>
      <c r="L121" s="105">
        <v>7928326.8299999982</v>
      </c>
      <c r="M121" s="105">
        <v>7319464.5599999996</v>
      </c>
      <c r="N121" s="105">
        <v>8290146.2399999993</v>
      </c>
      <c r="O121" s="106">
        <v>103721928.56999998</v>
      </c>
    </row>
    <row r="122" spans="1:15" x14ac:dyDescent="0.25">
      <c r="A122" s="97" t="s">
        <v>88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5">
      <c r="A123" s="110" t="s">
        <v>90</v>
      </c>
      <c r="B123" s="239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  <row r="125" spans="1:15" x14ac:dyDescent="0.25">
      <c r="L125" s="241"/>
      <c r="O125" s="241"/>
    </row>
    <row r="126" spans="1:15" x14ac:dyDescent="0.25">
      <c r="L126" s="96"/>
      <c r="O126" s="96"/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220"/>
  <sheetViews>
    <sheetView showGridLines="0" zoomScale="80" zoomScaleNormal="80" zoomScaleSheetLayoutView="100" workbookViewId="0">
      <selection activeCell="G20" sqref="G20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62" customWidth="1"/>
    <col min="5" max="5" width="24.26953125" style="1" customWidth="1"/>
    <col min="6" max="6" width="7.7265625" style="162" customWidth="1"/>
    <col min="7" max="7" width="6.7265625" style="162" customWidth="1"/>
    <col min="8" max="8" width="11.1796875" style="162" bestFit="1" customWidth="1"/>
    <col min="9" max="9" width="11.26953125" style="163" customWidth="1"/>
    <col min="10" max="10" width="14.81640625" style="162" bestFit="1" customWidth="1"/>
    <col min="11" max="11" width="14.81640625" style="164" bestFit="1" customWidth="1"/>
    <col min="12" max="12" width="14.7265625" style="162" customWidth="1"/>
    <col min="13" max="13" width="13.453125" style="125" bestFit="1" customWidth="1"/>
    <col min="14" max="15" width="13.453125" style="125" customWidth="1"/>
    <col min="16" max="16" width="14.81640625" style="125" bestFit="1" customWidth="1"/>
    <col min="17" max="17" width="13.453125" style="125" customWidth="1"/>
    <col min="18" max="18" width="15.54296875" style="237" customWidth="1"/>
    <col min="19" max="16384" width="8.7265625" style="1"/>
  </cols>
  <sheetData>
    <row r="1" spans="2:18" ht="21.5" x14ac:dyDescent="0.3">
      <c r="B1" s="10" t="s">
        <v>98</v>
      </c>
      <c r="C1" s="114"/>
      <c r="D1" s="115"/>
      <c r="E1" s="114"/>
      <c r="F1" s="116" t="s">
        <v>12</v>
      </c>
      <c r="G1" s="117"/>
      <c r="H1" s="118"/>
      <c r="I1" s="119"/>
      <c r="J1" s="120" t="str">
        <f>"True-Up ARR
(CY"&amp;R1&amp;")"</f>
        <v>True-Up ARR
(CY2020)</v>
      </c>
      <c r="K1" s="120" t="str">
        <f>"Projected ARR
(Jan'"&amp;RIGHT(R$1,2)&amp;" - Dec'"&amp;RIGHT(R$1,2)&amp;")"</f>
        <v>Projected ARR
(Jan'20 - Dec'20)</v>
      </c>
      <c r="L1" s="121" t="s">
        <v>45</v>
      </c>
      <c r="M1" s="122"/>
      <c r="N1" s="52"/>
      <c r="O1" s="52"/>
      <c r="P1" s="52"/>
      <c r="Q1" s="52"/>
      <c r="R1" s="123">
        <v>2020</v>
      </c>
    </row>
    <row r="2" spans="2:18" ht="13" x14ac:dyDescent="0.3">
      <c r="B2" s="10" t="s">
        <v>52</v>
      </c>
      <c r="C2" s="114"/>
      <c r="D2" s="115"/>
      <c r="E2" s="114"/>
      <c r="F2" s="124">
        <v>9</v>
      </c>
      <c r="G2" s="250"/>
      <c r="H2" s="250"/>
      <c r="I2" s="126" t="s">
        <v>6</v>
      </c>
      <c r="J2" s="127">
        <v>111672757.11566183</v>
      </c>
      <c r="K2" s="127">
        <v>109490022.96958628</v>
      </c>
      <c r="L2" s="128"/>
      <c r="M2" s="129"/>
      <c r="N2" s="52"/>
      <c r="O2" s="52"/>
      <c r="P2" s="52"/>
      <c r="Q2" s="52"/>
      <c r="R2" s="1"/>
    </row>
    <row r="3" spans="2:18" ht="13" x14ac:dyDescent="0.3">
      <c r="B3" s="10" t="str">
        <f>"for CY"&amp;R1&amp;" SPP Network Transmission Service"</f>
        <v>for CY2020 SPP Network Transmission Service</v>
      </c>
      <c r="C3" s="114"/>
      <c r="D3" s="115"/>
      <c r="E3" s="114"/>
      <c r="F3" s="124"/>
      <c r="G3" s="250"/>
      <c r="H3" s="250"/>
      <c r="I3" s="126" t="s">
        <v>10</v>
      </c>
      <c r="J3" s="130">
        <v>1176.9000000000001</v>
      </c>
      <c r="K3" s="130">
        <v>1093.1099999999999</v>
      </c>
      <c r="L3" s="131" t="str">
        <f>"Inv. Jan-Dec'"&amp;RIGHT(R1,2)</f>
        <v>Inv. Jan-Dec'20</v>
      </c>
      <c r="M3" s="129"/>
      <c r="N3" s="52"/>
      <c r="O3" s="52"/>
      <c r="P3" s="52"/>
      <c r="Q3" s="52"/>
      <c r="R3" s="1"/>
    </row>
    <row r="4" spans="2:18" ht="13" x14ac:dyDescent="0.3">
      <c r="B4" s="9"/>
      <c r="C4" s="114"/>
      <c r="D4" s="115"/>
      <c r="E4" s="114"/>
      <c r="F4" s="124"/>
      <c r="G4" s="125"/>
      <c r="H4" s="125"/>
      <c r="I4" s="51"/>
      <c r="J4" s="125"/>
      <c r="K4" s="132"/>
      <c r="L4" s="125"/>
      <c r="M4" s="133"/>
      <c r="R4" s="1"/>
    </row>
    <row r="5" spans="2:18" ht="13" x14ac:dyDescent="0.3">
      <c r="B5" s="9"/>
      <c r="C5" s="114"/>
      <c r="D5" s="115"/>
      <c r="E5" s="114"/>
      <c r="F5" s="124"/>
      <c r="G5" s="125"/>
      <c r="H5" s="125"/>
      <c r="I5" s="126"/>
      <c r="J5" s="125"/>
      <c r="K5" s="127">
        <v>0</v>
      </c>
      <c r="L5" s="128"/>
      <c r="M5" s="134"/>
      <c r="N5" s="135"/>
      <c r="O5" s="135"/>
      <c r="P5" s="135"/>
      <c r="Q5" s="135"/>
      <c r="R5" s="136"/>
    </row>
    <row r="6" spans="2:18" ht="13" x14ac:dyDescent="0.3">
      <c r="B6" s="10" t="s">
        <v>23</v>
      </c>
      <c r="D6" s="115"/>
      <c r="E6" s="114"/>
      <c r="F6" s="137"/>
      <c r="G6" s="138"/>
      <c r="H6" s="139"/>
      <c r="I6" s="140"/>
      <c r="J6" s="141"/>
      <c r="K6" s="130">
        <v>0</v>
      </c>
      <c r="L6" s="240"/>
      <c r="M6" s="134"/>
      <c r="N6" s="135"/>
      <c r="O6" s="135"/>
      <c r="P6" s="135"/>
      <c r="Q6" s="135"/>
      <c r="R6" s="1"/>
    </row>
    <row r="7" spans="2:18" ht="13" x14ac:dyDescent="0.3">
      <c r="B7" s="9" t="s">
        <v>77</v>
      </c>
      <c r="D7" s="115"/>
      <c r="E7" s="114"/>
      <c r="F7" s="124"/>
      <c r="G7" s="251"/>
      <c r="H7" s="250"/>
      <c r="I7" s="126"/>
      <c r="J7" s="142"/>
      <c r="K7" s="128"/>
      <c r="L7" s="128"/>
      <c r="M7" s="143"/>
      <c r="N7" s="144"/>
      <c r="O7" s="144"/>
      <c r="P7" s="144"/>
      <c r="Q7" s="144"/>
      <c r="R7" s="1"/>
    </row>
    <row r="8" spans="2:18" ht="13" x14ac:dyDescent="0.3">
      <c r="B8" s="10"/>
      <c r="C8" s="114"/>
      <c r="D8" s="115"/>
      <c r="E8" s="114"/>
      <c r="F8" s="124"/>
      <c r="G8" s="250"/>
      <c r="H8" s="250"/>
      <c r="I8" s="126"/>
      <c r="J8" s="145"/>
      <c r="K8" s="128"/>
      <c r="L8" s="146"/>
      <c r="M8" s="129"/>
      <c r="N8" s="52"/>
      <c r="O8" s="52"/>
      <c r="P8" s="52"/>
      <c r="Q8" s="52"/>
      <c r="R8" s="136"/>
    </row>
    <row r="9" spans="2:18" ht="13" x14ac:dyDescent="0.3">
      <c r="B9" s="147"/>
      <c r="C9" s="114"/>
      <c r="D9" s="115"/>
      <c r="E9" s="114"/>
      <c r="F9" s="124"/>
      <c r="G9" s="125"/>
      <c r="H9" s="125"/>
      <c r="I9" s="148"/>
      <c r="J9" s="149"/>
      <c r="K9" s="150"/>
      <c r="L9" s="151"/>
      <c r="M9" s="129"/>
      <c r="N9" s="52"/>
      <c r="O9" s="52"/>
      <c r="P9" s="52"/>
      <c r="Q9" s="52"/>
      <c r="R9" s="136"/>
    </row>
    <row r="10" spans="2:18" ht="13.5" thickBot="1" x14ac:dyDescent="0.35">
      <c r="B10" s="9"/>
      <c r="D10" s="1"/>
      <c r="E10" s="152"/>
      <c r="F10" s="153"/>
      <c r="G10" s="154"/>
      <c r="H10" s="155"/>
      <c r="I10" s="156"/>
      <c r="J10" s="157"/>
      <c r="K10" s="157"/>
      <c r="L10" s="158"/>
      <c r="M10" s="159"/>
      <c r="R10" s="160"/>
    </row>
    <row r="11" spans="2:18" ht="13" x14ac:dyDescent="0.3">
      <c r="B11" s="161"/>
      <c r="E11" s="152"/>
      <c r="L11" s="165"/>
      <c r="M11" s="1"/>
      <c r="N11" s="1"/>
      <c r="O11" s="1"/>
      <c r="P11" s="1"/>
      <c r="Q11" s="1"/>
      <c r="R11" s="136"/>
    </row>
    <row r="12" spans="2:18" x14ac:dyDescent="0.25">
      <c r="E12" s="152"/>
      <c r="L12" s="165"/>
      <c r="R12" s="166" t="s">
        <v>60</v>
      </c>
    </row>
    <row r="13" spans="2:18" ht="13" x14ac:dyDescent="0.3">
      <c r="E13" s="152"/>
      <c r="F13" s="167"/>
      <c r="G13" s="168"/>
      <c r="H13" s="168"/>
      <c r="I13" s="169" t="s">
        <v>58</v>
      </c>
      <c r="J13" s="170">
        <f t="shared" ref="J13:R13" si="0">SUM(J56:J211)</f>
        <v>28548063.300000004</v>
      </c>
      <c r="K13" s="170">
        <f t="shared" si="0"/>
        <v>26515569.269999988</v>
      </c>
      <c r="L13" s="171">
        <f t="shared" si="0"/>
        <v>2032494.0300000052</v>
      </c>
      <c r="M13" s="172">
        <f t="shared" si="0"/>
        <v>68457.005450594283</v>
      </c>
      <c r="N13" s="170">
        <f t="shared" si="0"/>
        <v>2100951.0354506001</v>
      </c>
      <c r="O13" s="170">
        <f t="shared" si="0"/>
        <v>0</v>
      </c>
      <c r="P13" s="170">
        <f t="shared" si="0"/>
        <v>0</v>
      </c>
      <c r="Q13" s="170">
        <f t="shared" si="0"/>
        <v>0</v>
      </c>
      <c r="R13" s="171">
        <f t="shared" si="0"/>
        <v>2100951.0354506001</v>
      </c>
    </row>
    <row r="14" spans="2:18" ht="13" x14ac:dyDescent="0.3">
      <c r="E14" s="152"/>
      <c r="F14" s="173"/>
      <c r="G14" s="173"/>
      <c r="H14" s="173"/>
      <c r="I14" s="174" t="s">
        <v>59</v>
      </c>
      <c r="J14" s="170">
        <f>SUM(J20:J211)</f>
        <v>111672510.30000006</v>
      </c>
      <c r="K14" s="170">
        <f>SUM(K20:K211)</f>
        <v>103721928.56999993</v>
      </c>
      <c r="L14" s="171">
        <f>SUM(L20:L211)</f>
        <v>7950581.7300000265</v>
      </c>
      <c r="M14" s="242">
        <v>267785.7886874117</v>
      </c>
      <c r="N14" s="170">
        <f>SUM(N20:N211)</f>
        <v>8218367.5186874289</v>
      </c>
      <c r="O14" s="170">
        <f>SUM(O20:O211)</f>
        <v>0</v>
      </c>
      <c r="P14" s="170">
        <f>SUM(P20:P211)</f>
        <v>0</v>
      </c>
      <c r="Q14" s="170">
        <f>SUM(Q20:Q211)</f>
        <v>0</v>
      </c>
      <c r="R14" s="171">
        <f>SUM(R20:R211)</f>
        <v>8218367.5186874289</v>
      </c>
    </row>
    <row r="15" spans="2:18" x14ac:dyDescent="0.25">
      <c r="B15" s="175" t="s">
        <v>82</v>
      </c>
      <c r="E15" s="152"/>
      <c r="J15" s="163"/>
      <c r="L15" s="165"/>
      <c r="M15" s="176"/>
      <c r="N15" s="176"/>
      <c r="O15" s="176"/>
      <c r="P15" s="176"/>
      <c r="Q15" s="176"/>
      <c r="R15" s="177" t="s">
        <v>20</v>
      </c>
    </row>
    <row r="16" spans="2:18" x14ac:dyDescent="0.25">
      <c r="B16" s="178" t="str">
        <f>"** Actual Trued-Up CY"&amp;R1&amp;" Charge reflects "&amp;R1&amp;" True-UP Rate x MW"</f>
        <v>** Actual Trued-Up CY2020 Charge reflects 2020 True-UP Rate x MW</v>
      </c>
      <c r="E16" s="152"/>
      <c r="F16" s="125"/>
      <c r="G16" s="5"/>
      <c r="J16" s="179"/>
      <c r="L16" s="180" t="s">
        <v>11</v>
      </c>
      <c r="M16" s="176"/>
      <c r="N16" s="176"/>
      <c r="O16" s="176"/>
      <c r="P16" s="176"/>
      <c r="Q16" s="176"/>
      <c r="R16" s="181"/>
    </row>
    <row r="17" spans="1:18" x14ac:dyDescent="0.25">
      <c r="B17" s="182" t="s">
        <v>62</v>
      </c>
      <c r="E17" s="152"/>
      <c r="I17" s="183"/>
      <c r="J17" s="184"/>
      <c r="K17" s="185"/>
      <c r="L17" s="185"/>
      <c r="M17" s="185"/>
      <c r="N17" s="185"/>
      <c r="O17" s="185"/>
      <c r="P17" s="185"/>
      <c r="Q17" s="185"/>
      <c r="R17" s="186"/>
    </row>
    <row r="18" spans="1:18" ht="3.65" customHeight="1" x14ac:dyDescent="0.25">
      <c r="I18" s="187"/>
      <c r="J18" s="184"/>
      <c r="K18" s="187"/>
      <c r="L18" s="187"/>
      <c r="M18" s="188"/>
      <c r="N18" s="188"/>
      <c r="O18" s="188"/>
      <c r="P18" s="188"/>
      <c r="Q18" s="188"/>
      <c r="R18" s="189"/>
    </row>
    <row r="19" spans="1:18" ht="38.25" customHeight="1" x14ac:dyDescent="0.25">
      <c r="B19" s="190" t="s">
        <v>53</v>
      </c>
      <c r="C19" s="191" t="s">
        <v>4</v>
      </c>
      <c r="D19" s="191" t="s">
        <v>5</v>
      </c>
      <c r="E19" s="192" t="s">
        <v>0</v>
      </c>
      <c r="F19" s="193" t="s">
        <v>12</v>
      </c>
      <c r="G19" s="194" t="s">
        <v>1</v>
      </c>
      <c r="H19" s="195" t="s">
        <v>48</v>
      </c>
      <c r="I19" s="195" t="s">
        <v>46</v>
      </c>
      <c r="J19" s="196" t="str">
        <f>"True-Up Charge"</f>
        <v>True-Up Charge</v>
      </c>
      <c r="K19" s="196" t="s">
        <v>47</v>
      </c>
      <c r="L19" s="197" t="s">
        <v>3</v>
      </c>
      <c r="M19" s="198" t="s">
        <v>7</v>
      </c>
      <c r="N19" s="199" t="s">
        <v>100</v>
      </c>
      <c r="O19" s="199" t="s">
        <v>84</v>
      </c>
      <c r="P19" s="199" t="s">
        <v>85</v>
      </c>
      <c r="Q19" s="199" t="s">
        <v>86</v>
      </c>
      <c r="R19" s="200" t="s">
        <v>2</v>
      </c>
    </row>
    <row r="20" spans="1:18" s="52" customFormat="1" ht="12.75" customHeight="1" x14ac:dyDescent="0.25">
      <c r="A20" s="125">
        <v>1</v>
      </c>
      <c r="B20" s="201">
        <f>DATE($R$1,A20,1)</f>
        <v>43831</v>
      </c>
      <c r="C20" s="202">
        <v>43866</v>
      </c>
      <c r="D20" s="202">
        <v>43885</v>
      </c>
      <c r="E20" s="203" t="s">
        <v>21</v>
      </c>
      <c r="F20" s="125">
        <v>9</v>
      </c>
      <c r="G20" s="204">
        <v>2580</v>
      </c>
      <c r="H20" s="205">
        <f>+$K$3</f>
        <v>1093.1099999999999</v>
      </c>
      <c r="I20" s="205">
        <f t="shared" ref="I20:I63" si="1">$J$3</f>
        <v>1176.9000000000001</v>
      </c>
      <c r="J20" s="206">
        <f t="shared" ref="J20:J108" si="2">+$G20*I20</f>
        <v>3036402.0000000005</v>
      </c>
      <c r="K20" s="207">
        <f>+$G20*H20</f>
        <v>2820223.8</v>
      </c>
      <c r="L20" s="208">
        <f t="shared" ref="L20:L34" si="3">+J20-K20</f>
        <v>216178.20000000065</v>
      </c>
      <c r="M20" s="209">
        <f>G20/$G$212*$M$14</f>
        <v>7281.1590082258072</v>
      </c>
      <c r="N20" s="210">
        <f>SUM(L20:M20)</f>
        <v>223459.35900822646</v>
      </c>
      <c r="O20" s="209">
        <v>0</v>
      </c>
      <c r="P20" s="209">
        <v>0</v>
      </c>
      <c r="Q20" s="209">
        <v>0</v>
      </c>
      <c r="R20" s="210">
        <f>+N20-Q20</f>
        <v>223459.35900822646</v>
      </c>
    </row>
    <row r="21" spans="1:18" x14ac:dyDescent="0.25">
      <c r="A21" s="162">
        <v>2</v>
      </c>
      <c r="B21" s="201">
        <f t="shared" ref="B21:B108" si="4">DATE($R$1,A21,1)</f>
        <v>43862</v>
      </c>
      <c r="C21" s="202">
        <v>43894</v>
      </c>
      <c r="D21" s="202">
        <v>43914</v>
      </c>
      <c r="E21" s="211" t="s">
        <v>21</v>
      </c>
      <c r="F21" s="162">
        <v>9</v>
      </c>
      <c r="G21" s="204">
        <v>2548</v>
      </c>
      <c r="H21" s="205">
        <f t="shared" ref="H21:H84" si="5">+$K$3</f>
        <v>1093.1099999999999</v>
      </c>
      <c r="I21" s="205">
        <f t="shared" si="1"/>
        <v>1176.9000000000001</v>
      </c>
      <c r="J21" s="206">
        <f t="shared" si="2"/>
        <v>2998741.2</v>
      </c>
      <c r="K21" s="207">
        <f t="shared" ref="K21:K33" si="6">+$G21*H21</f>
        <v>2785244.28</v>
      </c>
      <c r="L21" s="208">
        <f t="shared" si="3"/>
        <v>213496.92000000039</v>
      </c>
      <c r="M21" s="209">
        <f t="shared" ref="M21:M84" si="7">G21/$G$212*$M$14</f>
        <v>7190.8500592865721</v>
      </c>
      <c r="N21" s="210">
        <f t="shared" ref="N21:N84" si="8">SUM(L21:M21)</f>
        <v>220687.77005928697</v>
      </c>
      <c r="O21" s="209">
        <v>0</v>
      </c>
      <c r="P21" s="209">
        <v>0</v>
      </c>
      <c r="Q21" s="209">
        <v>0</v>
      </c>
      <c r="R21" s="210">
        <f t="shared" ref="R21:R84" si="9">+N21-Q21</f>
        <v>220687.77005928697</v>
      </c>
    </row>
    <row r="22" spans="1:18" x14ac:dyDescent="0.25">
      <c r="A22" s="162">
        <v>3</v>
      </c>
      <c r="B22" s="201">
        <f t="shared" si="4"/>
        <v>43891</v>
      </c>
      <c r="C22" s="202">
        <v>43924</v>
      </c>
      <c r="D22" s="202">
        <v>43945</v>
      </c>
      <c r="E22" s="211" t="s">
        <v>21</v>
      </c>
      <c r="F22" s="162">
        <v>9</v>
      </c>
      <c r="G22" s="204">
        <v>2505</v>
      </c>
      <c r="H22" s="205">
        <f t="shared" si="5"/>
        <v>1093.1099999999999</v>
      </c>
      <c r="I22" s="205">
        <f t="shared" si="1"/>
        <v>1176.9000000000001</v>
      </c>
      <c r="J22" s="206">
        <f t="shared" si="2"/>
        <v>2948134.5</v>
      </c>
      <c r="K22" s="207">
        <f t="shared" si="6"/>
        <v>2738240.55</v>
      </c>
      <c r="L22" s="208">
        <f t="shared" si="3"/>
        <v>209893.95000000019</v>
      </c>
      <c r="M22" s="209">
        <f t="shared" si="7"/>
        <v>7069.497409149476</v>
      </c>
      <c r="N22" s="210">
        <f t="shared" si="8"/>
        <v>216963.44740914967</v>
      </c>
      <c r="O22" s="209">
        <v>0</v>
      </c>
      <c r="P22" s="209">
        <v>0</v>
      </c>
      <c r="Q22" s="209">
        <v>0</v>
      </c>
      <c r="R22" s="210">
        <f t="shared" si="9"/>
        <v>216963.44740914967</v>
      </c>
    </row>
    <row r="23" spans="1:18" x14ac:dyDescent="0.25">
      <c r="A23" s="125">
        <v>4</v>
      </c>
      <c r="B23" s="201">
        <f t="shared" si="4"/>
        <v>43922</v>
      </c>
      <c r="C23" s="202">
        <v>43956</v>
      </c>
      <c r="D23" s="202">
        <v>43976</v>
      </c>
      <c r="E23" s="211" t="s">
        <v>21</v>
      </c>
      <c r="F23" s="162">
        <v>9</v>
      </c>
      <c r="G23" s="204">
        <v>2636</v>
      </c>
      <c r="H23" s="205">
        <f t="shared" si="5"/>
        <v>1093.1099999999999</v>
      </c>
      <c r="I23" s="205">
        <f t="shared" si="1"/>
        <v>1176.9000000000001</v>
      </c>
      <c r="J23" s="206">
        <f t="shared" si="2"/>
        <v>3102308.4000000004</v>
      </c>
      <c r="K23" s="207">
        <f t="shared" si="6"/>
        <v>2881437.96</v>
      </c>
      <c r="L23" s="208">
        <f t="shared" si="3"/>
        <v>220870.44000000041</v>
      </c>
      <c r="M23" s="209">
        <f t="shared" si="7"/>
        <v>7439.199668869469</v>
      </c>
      <c r="N23" s="210">
        <f t="shared" si="8"/>
        <v>228309.63966886987</v>
      </c>
      <c r="O23" s="209">
        <v>0</v>
      </c>
      <c r="P23" s="209">
        <v>0</v>
      </c>
      <c r="Q23" s="209">
        <v>0</v>
      </c>
      <c r="R23" s="210">
        <f t="shared" si="9"/>
        <v>228309.63966886987</v>
      </c>
    </row>
    <row r="24" spans="1:18" ht="12" customHeight="1" x14ac:dyDescent="0.25">
      <c r="A24" s="162">
        <v>5</v>
      </c>
      <c r="B24" s="201">
        <f t="shared" si="4"/>
        <v>43952</v>
      </c>
      <c r="C24" s="202">
        <v>43985</v>
      </c>
      <c r="D24" s="202">
        <v>44006</v>
      </c>
      <c r="E24" s="54" t="s">
        <v>21</v>
      </c>
      <c r="F24" s="162">
        <v>9</v>
      </c>
      <c r="G24" s="204">
        <v>2911</v>
      </c>
      <c r="H24" s="205">
        <f t="shared" si="5"/>
        <v>1093.1099999999999</v>
      </c>
      <c r="I24" s="205">
        <f t="shared" si="1"/>
        <v>1176.9000000000001</v>
      </c>
      <c r="J24" s="206">
        <f t="shared" si="2"/>
        <v>3425955.9000000004</v>
      </c>
      <c r="K24" s="207">
        <f t="shared" si="6"/>
        <v>3182043.2099999995</v>
      </c>
      <c r="L24" s="208">
        <f t="shared" si="3"/>
        <v>243912.69000000088</v>
      </c>
      <c r="M24" s="209">
        <f t="shared" si="7"/>
        <v>8215.2921988160178</v>
      </c>
      <c r="N24" s="210">
        <f t="shared" si="8"/>
        <v>252127.9821988169</v>
      </c>
      <c r="O24" s="209">
        <v>0</v>
      </c>
      <c r="P24" s="209">
        <v>0</v>
      </c>
      <c r="Q24" s="209">
        <v>0</v>
      </c>
      <c r="R24" s="210">
        <f t="shared" si="9"/>
        <v>252127.9821988169</v>
      </c>
    </row>
    <row r="25" spans="1:18" x14ac:dyDescent="0.25">
      <c r="A25" s="162">
        <v>6</v>
      </c>
      <c r="B25" s="201">
        <f t="shared" si="4"/>
        <v>43983</v>
      </c>
      <c r="C25" s="202">
        <v>44015</v>
      </c>
      <c r="D25" s="202">
        <v>44036</v>
      </c>
      <c r="E25" s="54" t="s">
        <v>21</v>
      </c>
      <c r="F25" s="162">
        <v>9</v>
      </c>
      <c r="G25" s="204">
        <v>3504</v>
      </c>
      <c r="H25" s="205">
        <f t="shared" si="5"/>
        <v>1093.1099999999999</v>
      </c>
      <c r="I25" s="205">
        <f t="shared" si="1"/>
        <v>1176.9000000000001</v>
      </c>
      <c r="J25" s="206">
        <f t="shared" si="2"/>
        <v>4123857.6</v>
      </c>
      <c r="K25" s="207">
        <f t="shared" si="6"/>
        <v>3830257.4399999995</v>
      </c>
      <c r="L25" s="212">
        <f t="shared" si="3"/>
        <v>293600.16000000061</v>
      </c>
      <c r="M25" s="209">
        <f t="shared" si="7"/>
        <v>9888.8299088462118</v>
      </c>
      <c r="N25" s="210">
        <f t="shared" si="8"/>
        <v>303488.98990884685</v>
      </c>
      <c r="O25" s="209">
        <v>0</v>
      </c>
      <c r="P25" s="209">
        <v>0</v>
      </c>
      <c r="Q25" s="209">
        <v>0</v>
      </c>
      <c r="R25" s="210">
        <f t="shared" si="9"/>
        <v>303488.98990884685</v>
      </c>
    </row>
    <row r="26" spans="1:18" x14ac:dyDescent="0.25">
      <c r="A26" s="125">
        <v>7</v>
      </c>
      <c r="B26" s="201">
        <f t="shared" si="4"/>
        <v>44013</v>
      </c>
      <c r="C26" s="202">
        <v>44048</v>
      </c>
      <c r="D26" s="202">
        <v>44067</v>
      </c>
      <c r="E26" s="54" t="s">
        <v>21</v>
      </c>
      <c r="F26" s="162">
        <v>9</v>
      </c>
      <c r="G26" s="204">
        <v>3724</v>
      </c>
      <c r="H26" s="205">
        <f t="shared" si="5"/>
        <v>1093.1099999999999</v>
      </c>
      <c r="I26" s="205">
        <f t="shared" si="1"/>
        <v>1176.9000000000001</v>
      </c>
      <c r="J26" s="206">
        <f t="shared" si="2"/>
        <v>4382775.6000000006</v>
      </c>
      <c r="K26" s="213">
        <f t="shared" si="6"/>
        <v>4070741.6399999997</v>
      </c>
      <c r="L26" s="212">
        <f t="shared" si="3"/>
        <v>312033.96000000089</v>
      </c>
      <c r="M26" s="209">
        <f t="shared" si="7"/>
        <v>10509.703932803452</v>
      </c>
      <c r="N26" s="210">
        <f t="shared" si="8"/>
        <v>322543.66393280437</v>
      </c>
      <c r="O26" s="209">
        <v>0</v>
      </c>
      <c r="P26" s="209">
        <v>0</v>
      </c>
      <c r="Q26" s="209">
        <v>0</v>
      </c>
      <c r="R26" s="210">
        <f t="shared" si="9"/>
        <v>322543.66393280437</v>
      </c>
    </row>
    <row r="27" spans="1:18" x14ac:dyDescent="0.25">
      <c r="A27" s="162">
        <v>8</v>
      </c>
      <c r="B27" s="201">
        <f t="shared" si="4"/>
        <v>44044</v>
      </c>
      <c r="C27" s="202">
        <v>44077</v>
      </c>
      <c r="D27" s="202">
        <v>44098</v>
      </c>
      <c r="E27" s="54" t="s">
        <v>21</v>
      </c>
      <c r="F27" s="162">
        <v>9</v>
      </c>
      <c r="G27" s="204">
        <v>3873</v>
      </c>
      <c r="H27" s="205">
        <f t="shared" si="5"/>
        <v>1093.1099999999999</v>
      </c>
      <c r="I27" s="205">
        <f t="shared" si="1"/>
        <v>1176.9000000000001</v>
      </c>
      <c r="J27" s="206">
        <f t="shared" si="2"/>
        <v>4558133.7</v>
      </c>
      <c r="K27" s="213">
        <f t="shared" si="6"/>
        <v>4233615.0299999993</v>
      </c>
      <c r="L27" s="212">
        <f t="shared" si="3"/>
        <v>324518.67000000086</v>
      </c>
      <c r="M27" s="209">
        <f t="shared" si="7"/>
        <v>10930.204976301764</v>
      </c>
      <c r="N27" s="210">
        <f t="shared" si="8"/>
        <v>335448.87497630261</v>
      </c>
      <c r="O27" s="209">
        <v>0</v>
      </c>
      <c r="P27" s="209">
        <v>0</v>
      </c>
      <c r="Q27" s="209">
        <v>0</v>
      </c>
      <c r="R27" s="210">
        <f t="shared" si="9"/>
        <v>335448.87497630261</v>
      </c>
    </row>
    <row r="28" spans="1:18" x14ac:dyDescent="0.25">
      <c r="A28" s="162">
        <v>9</v>
      </c>
      <c r="B28" s="201">
        <f t="shared" si="4"/>
        <v>44075</v>
      </c>
      <c r="C28" s="202">
        <v>44109</v>
      </c>
      <c r="D28" s="202">
        <v>44130</v>
      </c>
      <c r="E28" s="54" t="s">
        <v>21</v>
      </c>
      <c r="F28" s="162">
        <v>9</v>
      </c>
      <c r="G28" s="204">
        <v>3349</v>
      </c>
      <c r="H28" s="205">
        <f t="shared" si="5"/>
        <v>1093.1099999999999</v>
      </c>
      <c r="I28" s="205">
        <f t="shared" si="1"/>
        <v>1176.9000000000001</v>
      </c>
      <c r="J28" s="206">
        <f t="shared" si="2"/>
        <v>3941438.1</v>
      </c>
      <c r="K28" s="213">
        <f t="shared" si="6"/>
        <v>3660825.3899999997</v>
      </c>
      <c r="L28" s="212">
        <f t="shared" si="3"/>
        <v>280612.71000000043</v>
      </c>
      <c r="M28" s="209">
        <f t="shared" si="7"/>
        <v>9451.3959374217939</v>
      </c>
      <c r="N28" s="210">
        <f t="shared" si="8"/>
        <v>290064.10593742219</v>
      </c>
      <c r="O28" s="209">
        <v>0</v>
      </c>
      <c r="P28" s="209">
        <v>0</v>
      </c>
      <c r="Q28" s="209">
        <v>0</v>
      </c>
      <c r="R28" s="210">
        <f t="shared" si="9"/>
        <v>290064.10593742219</v>
      </c>
    </row>
    <row r="29" spans="1:18" x14ac:dyDescent="0.25">
      <c r="A29" s="125">
        <v>10</v>
      </c>
      <c r="B29" s="201">
        <f t="shared" si="4"/>
        <v>44105</v>
      </c>
      <c r="C29" s="202">
        <v>44139</v>
      </c>
      <c r="D29" s="202">
        <v>44159</v>
      </c>
      <c r="E29" s="54" t="s">
        <v>21</v>
      </c>
      <c r="F29" s="162">
        <v>9</v>
      </c>
      <c r="G29" s="204">
        <v>2789</v>
      </c>
      <c r="H29" s="205">
        <f t="shared" si="5"/>
        <v>1093.1099999999999</v>
      </c>
      <c r="I29" s="205">
        <f t="shared" si="1"/>
        <v>1176.9000000000001</v>
      </c>
      <c r="J29" s="206">
        <f t="shared" si="2"/>
        <v>3282374.1</v>
      </c>
      <c r="K29" s="213">
        <f t="shared" si="6"/>
        <v>3048683.7899999996</v>
      </c>
      <c r="L29" s="212">
        <f t="shared" si="3"/>
        <v>233690.31000000052</v>
      </c>
      <c r="M29" s="209">
        <f t="shared" si="7"/>
        <v>7870.989330985185</v>
      </c>
      <c r="N29" s="210">
        <f t="shared" si="8"/>
        <v>241561.2993309857</v>
      </c>
      <c r="O29" s="209">
        <v>0</v>
      </c>
      <c r="P29" s="209">
        <v>0</v>
      </c>
      <c r="Q29" s="209">
        <v>0</v>
      </c>
      <c r="R29" s="210">
        <f t="shared" si="9"/>
        <v>241561.2993309857</v>
      </c>
    </row>
    <row r="30" spans="1:18" x14ac:dyDescent="0.25">
      <c r="A30" s="162">
        <v>11</v>
      </c>
      <c r="B30" s="201">
        <f t="shared" si="4"/>
        <v>44136</v>
      </c>
      <c r="C30" s="202">
        <v>44168</v>
      </c>
      <c r="D30" s="202">
        <v>44189</v>
      </c>
      <c r="E30" s="54" t="s">
        <v>21</v>
      </c>
      <c r="F30" s="162">
        <v>9</v>
      </c>
      <c r="G30" s="204">
        <v>2382</v>
      </c>
      <c r="H30" s="205">
        <f t="shared" si="5"/>
        <v>1093.1099999999999</v>
      </c>
      <c r="I30" s="205">
        <f t="shared" si="1"/>
        <v>1176.9000000000001</v>
      </c>
      <c r="J30" s="206">
        <f t="shared" si="2"/>
        <v>2803375.8000000003</v>
      </c>
      <c r="K30" s="213">
        <f t="shared" si="6"/>
        <v>2603788.0199999996</v>
      </c>
      <c r="L30" s="212">
        <f t="shared" si="3"/>
        <v>199587.78000000073</v>
      </c>
      <c r="M30" s="209">
        <f t="shared" si="7"/>
        <v>6722.3723866642913</v>
      </c>
      <c r="N30" s="210">
        <f t="shared" si="8"/>
        <v>206310.15238666502</v>
      </c>
      <c r="O30" s="209">
        <v>0</v>
      </c>
      <c r="P30" s="209">
        <v>0</v>
      </c>
      <c r="Q30" s="209">
        <v>0</v>
      </c>
      <c r="R30" s="210">
        <f t="shared" si="9"/>
        <v>206310.15238666502</v>
      </c>
    </row>
    <row r="31" spans="1:18" x14ac:dyDescent="0.25">
      <c r="A31" s="162">
        <v>12</v>
      </c>
      <c r="B31" s="201">
        <f t="shared" si="4"/>
        <v>44166</v>
      </c>
      <c r="C31" s="214">
        <v>44202</v>
      </c>
      <c r="D31" s="215">
        <v>44221</v>
      </c>
      <c r="E31" s="54" t="s">
        <v>21</v>
      </c>
      <c r="F31" s="162">
        <v>9</v>
      </c>
      <c r="G31" s="216">
        <v>2513</v>
      </c>
      <c r="H31" s="217">
        <f t="shared" si="5"/>
        <v>1093.1099999999999</v>
      </c>
      <c r="I31" s="217">
        <f t="shared" si="1"/>
        <v>1176.9000000000001</v>
      </c>
      <c r="J31" s="218">
        <f t="shared" si="2"/>
        <v>2957549.7</v>
      </c>
      <c r="K31" s="219">
        <f t="shared" si="6"/>
        <v>2746985.4299999997</v>
      </c>
      <c r="L31" s="220">
        <f t="shared" si="3"/>
        <v>210564.27000000048</v>
      </c>
      <c r="M31" s="209">
        <f t="shared" si="7"/>
        <v>7092.0746463842843</v>
      </c>
      <c r="N31" s="210">
        <f t="shared" si="8"/>
        <v>217656.34464638476</v>
      </c>
      <c r="O31" s="209">
        <v>0</v>
      </c>
      <c r="P31" s="209">
        <v>0</v>
      </c>
      <c r="Q31" s="209">
        <v>0</v>
      </c>
      <c r="R31" s="210">
        <f t="shared" si="9"/>
        <v>217656.34464638476</v>
      </c>
    </row>
    <row r="32" spans="1:18" x14ac:dyDescent="0.25">
      <c r="A32" s="125">
        <v>1</v>
      </c>
      <c r="B32" s="221">
        <f t="shared" si="4"/>
        <v>43831</v>
      </c>
      <c r="C32" s="222">
        <f t="shared" ref="C32:D43" si="10">+C20</f>
        <v>43866</v>
      </c>
      <c r="D32" s="222">
        <f t="shared" si="10"/>
        <v>43885</v>
      </c>
      <c r="E32" s="223" t="s">
        <v>22</v>
      </c>
      <c r="F32" s="224">
        <v>9</v>
      </c>
      <c r="G32" s="204">
        <v>2664</v>
      </c>
      <c r="H32" s="205">
        <f t="shared" si="5"/>
        <v>1093.1099999999999</v>
      </c>
      <c r="I32" s="205">
        <f t="shared" si="1"/>
        <v>1176.9000000000001</v>
      </c>
      <c r="J32" s="206">
        <f t="shared" si="2"/>
        <v>3135261.6</v>
      </c>
      <c r="K32" s="207">
        <f t="shared" si="6"/>
        <v>2912045.0399999996</v>
      </c>
      <c r="L32" s="208">
        <f t="shared" si="3"/>
        <v>223216.56000000052</v>
      </c>
      <c r="M32" s="209">
        <f t="shared" si="7"/>
        <v>7518.2199991912994</v>
      </c>
      <c r="N32" s="210">
        <f t="shared" si="8"/>
        <v>230734.77999919181</v>
      </c>
      <c r="O32" s="209">
        <v>0</v>
      </c>
      <c r="P32" s="209">
        <v>0</v>
      </c>
      <c r="Q32" s="209">
        <v>0</v>
      </c>
      <c r="R32" s="210">
        <f t="shared" si="9"/>
        <v>230734.77999919181</v>
      </c>
    </row>
    <row r="33" spans="1:18" x14ac:dyDescent="0.25">
      <c r="A33" s="162">
        <v>2</v>
      </c>
      <c r="B33" s="201">
        <f t="shared" si="4"/>
        <v>43862</v>
      </c>
      <c r="C33" s="225">
        <f t="shared" si="10"/>
        <v>43894</v>
      </c>
      <c r="D33" s="225">
        <f t="shared" si="10"/>
        <v>43914</v>
      </c>
      <c r="E33" s="211" t="s">
        <v>22</v>
      </c>
      <c r="F33" s="162">
        <v>9</v>
      </c>
      <c r="G33" s="204">
        <v>2798</v>
      </c>
      <c r="H33" s="205">
        <f t="shared" si="5"/>
        <v>1093.1099999999999</v>
      </c>
      <c r="I33" s="205">
        <f t="shared" si="1"/>
        <v>1176.9000000000001</v>
      </c>
      <c r="J33" s="206">
        <f t="shared" si="2"/>
        <v>3292966.2</v>
      </c>
      <c r="K33" s="207">
        <f t="shared" si="6"/>
        <v>3058521.78</v>
      </c>
      <c r="L33" s="208">
        <f t="shared" si="3"/>
        <v>234444.42000000039</v>
      </c>
      <c r="M33" s="209">
        <f t="shared" si="7"/>
        <v>7896.3887228743442</v>
      </c>
      <c r="N33" s="210">
        <f t="shared" si="8"/>
        <v>242340.80872287473</v>
      </c>
      <c r="O33" s="209">
        <v>0</v>
      </c>
      <c r="P33" s="209">
        <v>0</v>
      </c>
      <c r="Q33" s="209">
        <v>0</v>
      </c>
      <c r="R33" s="210">
        <f t="shared" si="9"/>
        <v>242340.80872287473</v>
      </c>
    </row>
    <row r="34" spans="1:18" x14ac:dyDescent="0.25">
      <c r="A34" s="162">
        <v>3</v>
      </c>
      <c r="B34" s="201">
        <f t="shared" si="4"/>
        <v>43891</v>
      </c>
      <c r="C34" s="225">
        <f t="shared" si="10"/>
        <v>43924</v>
      </c>
      <c r="D34" s="225">
        <f t="shared" si="10"/>
        <v>43945</v>
      </c>
      <c r="E34" s="211" t="s">
        <v>22</v>
      </c>
      <c r="F34" s="162">
        <v>9</v>
      </c>
      <c r="G34" s="204">
        <v>2422</v>
      </c>
      <c r="H34" s="205">
        <f t="shared" si="5"/>
        <v>1093.1099999999999</v>
      </c>
      <c r="I34" s="205">
        <f t="shared" si="1"/>
        <v>1176.9000000000001</v>
      </c>
      <c r="J34" s="206">
        <f t="shared" si="2"/>
        <v>2850451.8000000003</v>
      </c>
      <c r="K34" s="207">
        <f t="shared" ref="K34:K93" si="11">+$G34*H34</f>
        <v>2647512.42</v>
      </c>
      <c r="L34" s="208">
        <f t="shared" si="3"/>
        <v>202939.38000000035</v>
      </c>
      <c r="M34" s="209">
        <f t="shared" si="7"/>
        <v>6835.2585728383356</v>
      </c>
      <c r="N34" s="210">
        <f t="shared" si="8"/>
        <v>209774.63857283868</v>
      </c>
      <c r="O34" s="209">
        <v>0</v>
      </c>
      <c r="P34" s="209">
        <v>0</v>
      </c>
      <c r="Q34" s="209">
        <v>0</v>
      </c>
      <c r="R34" s="210">
        <f t="shared" si="9"/>
        <v>209774.63857283868</v>
      </c>
    </row>
    <row r="35" spans="1:18" x14ac:dyDescent="0.25">
      <c r="A35" s="125">
        <v>4</v>
      </c>
      <c r="B35" s="201">
        <f t="shared" si="4"/>
        <v>43922</v>
      </c>
      <c r="C35" s="225">
        <f t="shared" si="10"/>
        <v>43956</v>
      </c>
      <c r="D35" s="225">
        <f t="shared" si="10"/>
        <v>43976</v>
      </c>
      <c r="E35" s="211" t="s">
        <v>22</v>
      </c>
      <c r="F35" s="162">
        <v>9</v>
      </c>
      <c r="G35" s="204">
        <v>2569</v>
      </c>
      <c r="H35" s="205">
        <f t="shared" si="5"/>
        <v>1093.1099999999999</v>
      </c>
      <c r="I35" s="205">
        <f t="shared" si="1"/>
        <v>1176.9000000000001</v>
      </c>
      <c r="J35" s="206">
        <f t="shared" si="2"/>
        <v>3023456.1</v>
      </c>
      <c r="K35" s="207">
        <f t="shared" si="11"/>
        <v>2808199.59</v>
      </c>
      <c r="L35" s="208">
        <f t="shared" ref="L35:L57" si="12">+J35-K35</f>
        <v>215256.51000000024</v>
      </c>
      <c r="M35" s="209">
        <f t="shared" si="7"/>
        <v>7250.1153070279452</v>
      </c>
      <c r="N35" s="210">
        <f t="shared" si="8"/>
        <v>222506.62530702818</v>
      </c>
      <c r="O35" s="209">
        <v>0</v>
      </c>
      <c r="P35" s="209">
        <v>0</v>
      </c>
      <c r="Q35" s="209">
        <v>0</v>
      </c>
      <c r="R35" s="210">
        <f t="shared" si="9"/>
        <v>222506.62530702818</v>
      </c>
    </row>
    <row r="36" spans="1:18" x14ac:dyDescent="0.25">
      <c r="A36" s="162">
        <v>5</v>
      </c>
      <c r="B36" s="201">
        <f t="shared" si="4"/>
        <v>43952</v>
      </c>
      <c r="C36" s="225">
        <f t="shared" si="10"/>
        <v>43985</v>
      </c>
      <c r="D36" s="225">
        <f t="shared" si="10"/>
        <v>44006</v>
      </c>
      <c r="E36" s="54" t="s">
        <v>22</v>
      </c>
      <c r="F36" s="162">
        <v>9</v>
      </c>
      <c r="G36" s="204">
        <v>2598</v>
      </c>
      <c r="H36" s="205">
        <f t="shared" si="5"/>
        <v>1093.1099999999999</v>
      </c>
      <c r="I36" s="205">
        <f t="shared" si="1"/>
        <v>1176.9000000000001</v>
      </c>
      <c r="J36" s="206">
        <f t="shared" si="2"/>
        <v>3057586.2</v>
      </c>
      <c r="K36" s="207">
        <f t="shared" si="11"/>
        <v>2839899.78</v>
      </c>
      <c r="L36" s="208">
        <f t="shared" si="12"/>
        <v>217686.42000000039</v>
      </c>
      <c r="M36" s="209">
        <f t="shared" si="7"/>
        <v>7331.9577920041265</v>
      </c>
      <c r="N36" s="210">
        <f t="shared" si="8"/>
        <v>225018.37779200452</v>
      </c>
      <c r="O36" s="209">
        <v>0</v>
      </c>
      <c r="P36" s="209">
        <v>0</v>
      </c>
      <c r="Q36" s="209">
        <v>0</v>
      </c>
      <c r="R36" s="210">
        <f t="shared" si="9"/>
        <v>225018.37779200452</v>
      </c>
    </row>
    <row r="37" spans="1:18" x14ac:dyDescent="0.25">
      <c r="A37" s="162">
        <v>6</v>
      </c>
      <c r="B37" s="201">
        <f t="shared" si="4"/>
        <v>43983</v>
      </c>
      <c r="C37" s="225">
        <f t="shared" si="10"/>
        <v>44015</v>
      </c>
      <c r="D37" s="225">
        <f t="shared" si="10"/>
        <v>44036</v>
      </c>
      <c r="E37" s="54" t="s">
        <v>22</v>
      </c>
      <c r="F37" s="162">
        <v>9</v>
      </c>
      <c r="G37" s="204">
        <v>3167</v>
      </c>
      <c r="H37" s="205">
        <f t="shared" si="5"/>
        <v>1093.1099999999999</v>
      </c>
      <c r="I37" s="205">
        <f t="shared" si="1"/>
        <v>1176.9000000000001</v>
      </c>
      <c r="J37" s="206">
        <f t="shared" si="2"/>
        <v>3727242.3000000003</v>
      </c>
      <c r="K37" s="207">
        <f t="shared" si="11"/>
        <v>3461879.3699999996</v>
      </c>
      <c r="L37" s="212">
        <f t="shared" si="12"/>
        <v>265362.93000000063</v>
      </c>
      <c r="M37" s="209">
        <f t="shared" si="7"/>
        <v>8937.7637903298964</v>
      </c>
      <c r="N37" s="210">
        <f t="shared" si="8"/>
        <v>274300.69379033055</v>
      </c>
      <c r="O37" s="209">
        <v>0</v>
      </c>
      <c r="P37" s="209">
        <v>0</v>
      </c>
      <c r="Q37" s="209">
        <v>0</v>
      </c>
      <c r="R37" s="210">
        <f t="shared" si="9"/>
        <v>274300.69379033055</v>
      </c>
    </row>
    <row r="38" spans="1:18" x14ac:dyDescent="0.25">
      <c r="A38" s="125">
        <v>7</v>
      </c>
      <c r="B38" s="201">
        <f t="shared" si="4"/>
        <v>44013</v>
      </c>
      <c r="C38" s="225">
        <f t="shared" si="10"/>
        <v>44048</v>
      </c>
      <c r="D38" s="225">
        <f t="shared" si="10"/>
        <v>44067</v>
      </c>
      <c r="E38" s="54" t="s">
        <v>22</v>
      </c>
      <c r="F38" s="162">
        <v>9</v>
      </c>
      <c r="G38" s="204">
        <v>3376</v>
      </c>
      <c r="H38" s="205">
        <f t="shared" si="5"/>
        <v>1093.1099999999999</v>
      </c>
      <c r="I38" s="205">
        <f t="shared" si="1"/>
        <v>1176.9000000000001</v>
      </c>
      <c r="J38" s="206">
        <f t="shared" si="2"/>
        <v>3973214.4000000004</v>
      </c>
      <c r="K38" s="213">
        <f t="shared" si="11"/>
        <v>3690339.36</v>
      </c>
      <c r="L38" s="212">
        <f t="shared" si="12"/>
        <v>282875.0400000005</v>
      </c>
      <c r="M38" s="209">
        <f t="shared" si="7"/>
        <v>9527.5941130892734</v>
      </c>
      <c r="N38" s="210">
        <f t="shared" si="8"/>
        <v>292402.63411308976</v>
      </c>
      <c r="O38" s="209">
        <v>0</v>
      </c>
      <c r="P38" s="209">
        <v>0</v>
      </c>
      <c r="Q38" s="209">
        <v>0</v>
      </c>
      <c r="R38" s="210">
        <f t="shared" si="9"/>
        <v>292402.63411308976</v>
      </c>
    </row>
    <row r="39" spans="1:18" x14ac:dyDescent="0.25">
      <c r="A39" s="162">
        <v>8</v>
      </c>
      <c r="B39" s="201">
        <f t="shared" si="4"/>
        <v>44044</v>
      </c>
      <c r="C39" s="225">
        <f t="shared" si="10"/>
        <v>44077</v>
      </c>
      <c r="D39" s="225">
        <f t="shared" si="10"/>
        <v>44098</v>
      </c>
      <c r="E39" s="54" t="s">
        <v>22</v>
      </c>
      <c r="F39" s="162">
        <v>9</v>
      </c>
      <c r="G39" s="204">
        <v>3459</v>
      </c>
      <c r="H39" s="205">
        <f t="shared" si="5"/>
        <v>1093.1099999999999</v>
      </c>
      <c r="I39" s="205">
        <f t="shared" si="1"/>
        <v>1176.9000000000001</v>
      </c>
      <c r="J39" s="206">
        <f t="shared" si="2"/>
        <v>4070897.1</v>
      </c>
      <c r="K39" s="213">
        <f t="shared" si="11"/>
        <v>3781067.4899999998</v>
      </c>
      <c r="L39" s="212">
        <f t="shared" si="12"/>
        <v>289829.61000000034</v>
      </c>
      <c r="M39" s="209">
        <f t="shared" si="7"/>
        <v>9761.8329494004138</v>
      </c>
      <c r="N39" s="210">
        <f t="shared" si="8"/>
        <v>299591.44294940075</v>
      </c>
      <c r="O39" s="209">
        <v>0</v>
      </c>
      <c r="P39" s="209">
        <v>0</v>
      </c>
      <c r="Q39" s="209">
        <v>0</v>
      </c>
      <c r="R39" s="210">
        <f t="shared" si="9"/>
        <v>299591.44294940075</v>
      </c>
    </row>
    <row r="40" spans="1:18" x14ac:dyDescent="0.25">
      <c r="A40" s="162">
        <v>9</v>
      </c>
      <c r="B40" s="201">
        <f t="shared" si="4"/>
        <v>44075</v>
      </c>
      <c r="C40" s="225">
        <f t="shared" si="10"/>
        <v>44109</v>
      </c>
      <c r="D40" s="225">
        <f t="shared" si="10"/>
        <v>44130</v>
      </c>
      <c r="E40" s="54" t="s">
        <v>22</v>
      </c>
      <c r="F40" s="162">
        <v>9</v>
      </c>
      <c r="G40" s="204">
        <v>3173</v>
      </c>
      <c r="H40" s="205">
        <f t="shared" si="5"/>
        <v>1093.1099999999999</v>
      </c>
      <c r="I40" s="205">
        <f t="shared" si="1"/>
        <v>1176.9000000000001</v>
      </c>
      <c r="J40" s="206">
        <f t="shared" si="2"/>
        <v>3734303.7</v>
      </c>
      <c r="K40" s="213">
        <f t="shared" si="11"/>
        <v>3468438.03</v>
      </c>
      <c r="L40" s="212">
        <f t="shared" si="12"/>
        <v>265865.67000000039</v>
      </c>
      <c r="M40" s="209">
        <f t="shared" si="7"/>
        <v>8954.696718256002</v>
      </c>
      <c r="N40" s="210">
        <f t="shared" si="8"/>
        <v>274820.36671825638</v>
      </c>
      <c r="O40" s="209">
        <v>0</v>
      </c>
      <c r="P40" s="209">
        <v>0</v>
      </c>
      <c r="Q40" s="209">
        <v>0</v>
      </c>
      <c r="R40" s="210">
        <f t="shared" si="9"/>
        <v>274820.36671825638</v>
      </c>
    </row>
    <row r="41" spans="1:18" x14ac:dyDescent="0.25">
      <c r="A41" s="125">
        <v>10</v>
      </c>
      <c r="B41" s="201">
        <f t="shared" si="4"/>
        <v>44105</v>
      </c>
      <c r="C41" s="225">
        <f t="shared" si="10"/>
        <v>44139</v>
      </c>
      <c r="D41" s="225">
        <f t="shared" si="10"/>
        <v>44159</v>
      </c>
      <c r="E41" s="54" t="s">
        <v>22</v>
      </c>
      <c r="F41" s="162">
        <v>9</v>
      </c>
      <c r="G41" s="204">
        <v>2561</v>
      </c>
      <c r="H41" s="205">
        <f t="shared" si="5"/>
        <v>1093.1099999999999</v>
      </c>
      <c r="I41" s="205">
        <f t="shared" si="1"/>
        <v>1176.9000000000001</v>
      </c>
      <c r="J41" s="206">
        <f t="shared" si="2"/>
        <v>3014040.9000000004</v>
      </c>
      <c r="K41" s="213">
        <f t="shared" si="11"/>
        <v>2799454.71</v>
      </c>
      <c r="L41" s="212">
        <f t="shared" si="12"/>
        <v>214586.19000000041</v>
      </c>
      <c r="M41" s="209">
        <f t="shared" si="7"/>
        <v>7227.5380697931369</v>
      </c>
      <c r="N41" s="210">
        <f t="shared" si="8"/>
        <v>221813.72806979355</v>
      </c>
      <c r="O41" s="209">
        <v>0</v>
      </c>
      <c r="P41" s="209">
        <v>0</v>
      </c>
      <c r="Q41" s="209">
        <v>0</v>
      </c>
      <c r="R41" s="210">
        <f t="shared" si="9"/>
        <v>221813.72806979355</v>
      </c>
    </row>
    <row r="42" spans="1:18" x14ac:dyDescent="0.25">
      <c r="A42" s="162">
        <v>11</v>
      </c>
      <c r="B42" s="201">
        <f t="shared" si="4"/>
        <v>44136</v>
      </c>
      <c r="C42" s="225">
        <f t="shared" si="10"/>
        <v>44168</v>
      </c>
      <c r="D42" s="225">
        <f t="shared" si="10"/>
        <v>44189</v>
      </c>
      <c r="E42" s="54" t="s">
        <v>22</v>
      </c>
      <c r="F42" s="162">
        <v>9</v>
      </c>
      <c r="G42" s="204">
        <v>2357</v>
      </c>
      <c r="H42" s="205">
        <f t="shared" si="5"/>
        <v>1093.1099999999999</v>
      </c>
      <c r="I42" s="205">
        <f t="shared" si="1"/>
        <v>1176.9000000000001</v>
      </c>
      <c r="J42" s="206">
        <f t="shared" si="2"/>
        <v>2773953.3000000003</v>
      </c>
      <c r="K42" s="213">
        <f t="shared" si="11"/>
        <v>2576460.2699999996</v>
      </c>
      <c r="L42" s="212">
        <f t="shared" si="12"/>
        <v>197493.03000000073</v>
      </c>
      <c r="M42" s="209">
        <f t="shared" si="7"/>
        <v>6651.8185203055154</v>
      </c>
      <c r="N42" s="210">
        <f t="shared" si="8"/>
        <v>204144.84852030623</v>
      </c>
      <c r="O42" s="209">
        <v>0</v>
      </c>
      <c r="P42" s="209">
        <v>0</v>
      </c>
      <c r="Q42" s="209">
        <v>0</v>
      </c>
      <c r="R42" s="210">
        <f t="shared" si="9"/>
        <v>204144.84852030623</v>
      </c>
    </row>
    <row r="43" spans="1:18" x14ac:dyDescent="0.25">
      <c r="A43" s="162">
        <v>12</v>
      </c>
      <c r="B43" s="201">
        <f t="shared" si="4"/>
        <v>44166</v>
      </c>
      <c r="C43" s="225">
        <f t="shared" si="10"/>
        <v>44202</v>
      </c>
      <c r="D43" s="225">
        <f t="shared" si="10"/>
        <v>44221</v>
      </c>
      <c r="E43" s="54" t="s">
        <v>22</v>
      </c>
      <c r="F43" s="162">
        <v>9</v>
      </c>
      <c r="G43" s="216">
        <v>2731</v>
      </c>
      <c r="H43" s="217">
        <f t="shared" si="5"/>
        <v>1093.1099999999999</v>
      </c>
      <c r="I43" s="217">
        <f t="shared" si="1"/>
        <v>1176.9000000000001</v>
      </c>
      <c r="J43" s="218">
        <f t="shared" si="2"/>
        <v>3214113.9000000004</v>
      </c>
      <c r="K43" s="219">
        <f t="shared" si="11"/>
        <v>2985283.4099999997</v>
      </c>
      <c r="L43" s="220">
        <f t="shared" si="12"/>
        <v>228830.49000000069</v>
      </c>
      <c r="M43" s="209">
        <f t="shared" si="7"/>
        <v>7707.3043610328214</v>
      </c>
      <c r="N43" s="210">
        <f t="shared" si="8"/>
        <v>236537.79436103351</v>
      </c>
      <c r="O43" s="209">
        <v>0</v>
      </c>
      <c r="P43" s="209">
        <v>0</v>
      </c>
      <c r="Q43" s="209">
        <v>0</v>
      </c>
      <c r="R43" s="210">
        <f t="shared" si="9"/>
        <v>236537.79436103351</v>
      </c>
    </row>
    <row r="44" spans="1:18" x14ac:dyDescent="0.25">
      <c r="A44" s="125">
        <v>1</v>
      </c>
      <c r="B44" s="221">
        <f t="shared" ref="B44:B55" si="13">DATE($R$1,A44,1)</f>
        <v>43831</v>
      </c>
      <c r="C44" s="222">
        <f t="shared" ref="C44:D55" si="14">+C32</f>
        <v>43866</v>
      </c>
      <c r="D44" s="222">
        <f t="shared" si="14"/>
        <v>43885</v>
      </c>
      <c r="E44" s="223" t="s">
        <v>81</v>
      </c>
      <c r="F44" s="224">
        <v>9</v>
      </c>
      <c r="G44" s="204">
        <v>145</v>
      </c>
      <c r="H44" s="205">
        <f t="shared" si="5"/>
        <v>1093.1099999999999</v>
      </c>
      <c r="I44" s="205">
        <f t="shared" si="1"/>
        <v>1176.9000000000001</v>
      </c>
      <c r="J44" s="209">
        <f t="shared" ref="J44:J55" si="15">+$G44*I44</f>
        <v>170650.5</v>
      </c>
      <c r="K44" s="213">
        <f t="shared" ref="K44:K55" si="16">+$G44*H44</f>
        <v>158500.94999999998</v>
      </c>
      <c r="L44" s="212">
        <f t="shared" ref="L44:L55" si="17">+J44-K44</f>
        <v>12149.550000000017</v>
      </c>
      <c r="M44" s="209">
        <f t="shared" si="7"/>
        <v>409.21242488090775</v>
      </c>
      <c r="N44" s="210">
        <f t="shared" si="8"/>
        <v>12558.762424880926</v>
      </c>
      <c r="O44" s="209">
        <v>0</v>
      </c>
      <c r="P44" s="209">
        <v>0</v>
      </c>
      <c r="Q44" s="209">
        <v>0</v>
      </c>
      <c r="R44" s="210">
        <f t="shared" si="9"/>
        <v>12558.762424880926</v>
      </c>
    </row>
    <row r="45" spans="1:18" x14ac:dyDescent="0.25">
      <c r="A45" s="162">
        <v>2</v>
      </c>
      <c r="B45" s="201">
        <f t="shared" si="13"/>
        <v>43862</v>
      </c>
      <c r="C45" s="225">
        <f t="shared" si="14"/>
        <v>43894</v>
      </c>
      <c r="D45" s="225">
        <f t="shared" si="14"/>
        <v>43914</v>
      </c>
      <c r="E45" s="211" t="s">
        <v>81</v>
      </c>
      <c r="F45" s="162">
        <v>9</v>
      </c>
      <c r="G45" s="204">
        <v>146</v>
      </c>
      <c r="H45" s="205">
        <f t="shared" si="5"/>
        <v>1093.1099999999999</v>
      </c>
      <c r="I45" s="205">
        <f t="shared" si="1"/>
        <v>1176.9000000000001</v>
      </c>
      <c r="J45" s="209">
        <f t="shared" si="15"/>
        <v>171827.40000000002</v>
      </c>
      <c r="K45" s="213">
        <f t="shared" si="16"/>
        <v>159594.06</v>
      </c>
      <c r="L45" s="212">
        <f t="shared" si="17"/>
        <v>12233.340000000026</v>
      </c>
      <c r="M45" s="209">
        <f t="shared" si="7"/>
        <v>412.03457953525884</v>
      </c>
      <c r="N45" s="210">
        <f t="shared" si="8"/>
        <v>12645.374579535284</v>
      </c>
      <c r="O45" s="209">
        <v>0</v>
      </c>
      <c r="P45" s="209">
        <v>0</v>
      </c>
      <c r="Q45" s="209">
        <v>0</v>
      </c>
      <c r="R45" s="210">
        <f t="shared" si="9"/>
        <v>12645.374579535284</v>
      </c>
    </row>
    <row r="46" spans="1:18" x14ac:dyDescent="0.25">
      <c r="A46" s="162">
        <v>3</v>
      </c>
      <c r="B46" s="201">
        <f t="shared" si="13"/>
        <v>43891</v>
      </c>
      <c r="C46" s="225">
        <f t="shared" si="14"/>
        <v>43924</v>
      </c>
      <c r="D46" s="225">
        <f t="shared" si="14"/>
        <v>43945</v>
      </c>
      <c r="E46" s="211" t="s">
        <v>81</v>
      </c>
      <c r="F46" s="162">
        <v>9</v>
      </c>
      <c r="G46" s="204">
        <v>97</v>
      </c>
      <c r="H46" s="205">
        <f t="shared" si="5"/>
        <v>1093.1099999999999</v>
      </c>
      <c r="I46" s="205">
        <f t="shared" si="1"/>
        <v>1176.9000000000001</v>
      </c>
      <c r="J46" s="209">
        <f t="shared" si="15"/>
        <v>114159.3</v>
      </c>
      <c r="K46" s="213">
        <f t="shared" si="16"/>
        <v>106031.66999999998</v>
      </c>
      <c r="L46" s="212">
        <f t="shared" si="17"/>
        <v>8127.6300000000192</v>
      </c>
      <c r="M46" s="209">
        <f t="shared" si="7"/>
        <v>273.74900147205551</v>
      </c>
      <c r="N46" s="210">
        <f t="shared" si="8"/>
        <v>8401.3790014720744</v>
      </c>
      <c r="O46" s="209">
        <v>0</v>
      </c>
      <c r="P46" s="209">
        <v>0</v>
      </c>
      <c r="Q46" s="209">
        <v>0</v>
      </c>
      <c r="R46" s="210">
        <f t="shared" si="9"/>
        <v>8401.3790014720744</v>
      </c>
    </row>
    <row r="47" spans="1:18" x14ac:dyDescent="0.25">
      <c r="A47" s="125">
        <v>4</v>
      </c>
      <c r="B47" s="201">
        <f t="shared" si="13"/>
        <v>43922</v>
      </c>
      <c r="C47" s="225">
        <f t="shared" si="14"/>
        <v>43956</v>
      </c>
      <c r="D47" s="225">
        <f t="shared" si="14"/>
        <v>43976</v>
      </c>
      <c r="E47" s="211" t="s">
        <v>81</v>
      </c>
      <c r="F47" s="162">
        <v>9</v>
      </c>
      <c r="G47" s="204">
        <v>94</v>
      </c>
      <c r="H47" s="205">
        <f t="shared" si="5"/>
        <v>1093.1099999999999</v>
      </c>
      <c r="I47" s="205">
        <f t="shared" si="1"/>
        <v>1176.9000000000001</v>
      </c>
      <c r="J47" s="209">
        <f t="shared" si="15"/>
        <v>110628.6</v>
      </c>
      <c r="K47" s="213">
        <f t="shared" si="16"/>
        <v>102752.34</v>
      </c>
      <c r="L47" s="212">
        <f t="shared" si="17"/>
        <v>7876.2600000000093</v>
      </c>
      <c r="M47" s="209">
        <f t="shared" si="7"/>
        <v>265.28253750900228</v>
      </c>
      <c r="N47" s="210">
        <f t="shared" si="8"/>
        <v>8141.5425375090117</v>
      </c>
      <c r="O47" s="209">
        <v>0</v>
      </c>
      <c r="P47" s="209">
        <v>0</v>
      </c>
      <c r="Q47" s="209">
        <v>0</v>
      </c>
      <c r="R47" s="210">
        <f t="shared" si="9"/>
        <v>8141.5425375090117</v>
      </c>
    </row>
    <row r="48" spans="1:18" x14ac:dyDescent="0.25">
      <c r="A48" s="162">
        <v>5</v>
      </c>
      <c r="B48" s="201">
        <f t="shared" si="13"/>
        <v>43952</v>
      </c>
      <c r="C48" s="225">
        <f t="shared" si="14"/>
        <v>43985</v>
      </c>
      <c r="D48" s="225">
        <f t="shared" si="14"/>
        <v>44006</v>
      </c>
      <c r="E48" s="211" t="s">
        <v>81</v>
      </c>
      <c r="F48" s="162">
        <v>9</v>
      </c>
      <c r="G48" s="204">
        <v>106</v>
      </c>
      <c r="H48" s="205">
        <f t="shared" si="5"/>
        <v>1093.1099999999999</v>
      </c>
      <c r="I48" s="205">
        <f t="shared" si="1"/>
        <v>1176.9000000000001</v>
      </c>
      <c r="J48" s="209">
        <f t="shared" si="15"/>
        <v>124751.40000000001</v>
      </c>
      <c r="K48" s="213">
        <f t="shared" si="16"/>
        <v>115869.65999999999</v>
      </c>
      <c r="L48" s="212">
        <f t="shared" si="17"/>
        <v>8881.7400000000198</v>
      </c>
      <c r="M48" s="209">
        <f t="shared" si="7"/>
        <v>299.14839336121537</v>
      </c>
      <c r="N48" s="210">
        <f t="shared" si="8"/>
        <v>9180.888393361236</v>
      </c>
      <c r="O48" s="209">
        <v>0</v>
      </c>
      <c r="P48" s="209">
        <v>0</v>
      </c>
      <c r="Q48" s="209">
        <v>0</v>
      </c>
      <c r="R48" s="210">
        <f t="shared" si="9"/>
        <v>9180.888393361236</v>
      </c>
    </row>
    <row r="49" spans="1:18" x14ac:dyDescent="0.25">
      <c r="A49" s="162">
        <v>6</v>
      </c>
      <c r="B49" s="201">
        <f t="shared" si="13"/>
        <v>43983</v>
      </c>
      <c r="C49" s="225">
        <f t="shared" si="14"/>
        <v>44015</v>
      </c>
      <c r="D49" s="225">
        <f t="shared" si="14"/>
        <v>44036</v>
      </c>
      <c r="E49" s="211" t="s">
        <v>81</v>
      </c>
      <c r="F49" s="162">
        <v>9</v>
      </c>
      <c r="G49" s="204">
        <v>132</v>
      </c>
      <c r="H49" s="205">
        <f t="shared" si="5"/>
        <v>1093.1099999999999</v>
      </c>
      <c r="I49" s="205">
        <f t="shared" si="1"/>
        <v>1176.9000000000001</v>
      </c>
      <c r="J49" s="209">
        <f t="shared" si="15"/>
        <v>155350.80000000002</v>
      </c>
      <c r="K49" s="213">
        <f t="shared" si="16"/>
        <v>144290.51999999999</v>
      </c>
      <c r="L49" s="212">
        <f t="shared" si="17"/>
        <v>11060.280000000028</v>
      </c>
      <c r="M49" s="209">
        <f t="shared" si="7"/>
        <v>372.52441437434362</v>
      </c>
      <c r="N49" s="210">
        <f t="shared" si="8"/>
        <v>11432.804414374372</v>
      </c>
      <c r="O49" s="209">
        <v>0</v>
      </c>
      <c r="P49" s="209">
        <v>0</v>
      </c>
      <c r="Q49" s="209">
        <v>0</v>
      </c>
      <c r="R49" s="210">
        <f t="shared" si="9"/>
        <v>11432.804414374372</v>
      </c>
    </row>
    <row r="50" spans="1:18" x14ac:dyDescent="0.25">
      <c r="A50" s="125">
        <v>7</v>
      </c>
      <c r="B50" s="201">
        <f t="shared" si="13"/>
        <v>44013</v>
      </c>
      <c r="C50" s="225">
        <f t="shared" si="14"/>
        <v>44048</v>
      </c>
      <c r="D50" s="225">
        <f t="shared" si="14"/>
        <v>44067</v>
      </c>
      <c r="E50" s="211" t="s">
        <v>81</v>
      </c>
      <c r="F50" s="162">
        <v>9</v>
      </c>
      <c r="G50" s="204">
        <v>139</v>
      </c>
      <c r="H50" s="205">
        <f t="shared" si="5"/>
        <v>1093.1099999999999</v>
      </c>
      <c r="I50" s="205">
        <f t="shared" si="1"/>
        <v>1176.9000000000001</v>
      </c>
      <c r="J50" s="209">
        <f t="shared" si="15"/>
        <v>163589.1</v>
      </c>
      <c r="K50" s="213">
        <f t="shared" si="16"/>
        <v>151942.28999999998</v>
      </c>
      <c r="L50" s="212">
        <f t="shared" si="17"/>
        <v>11646.810000000027</v>
      </c>
      <c r="M50" s="209">
        <f t="shared" si="7"/>
        <v>392.27949695480123</v>
      </c>
      <c r="N50" s="210">
        <f t="shared" si="8"/>
        <v>12039.089496954828</v>
      </c>
      <c r="O50" s="209">
        <v>0</v>
      </c>
      <c r="P50" s="209">
        <v>0</v>
      </c>
      <c r="Q50" s="209">
        <v>0</v>
      </c>
      <c r="R50" s="210">
        <f t="shared" si="9"/>
        <v>12039.089496954828</v>
      </c>
    </row>
    <row r="51" spans="1:18" x14ac:dyDescent="0.25">
      <c r="A51" s="162">
        <v>8</v>
      </c>
      <c r="B51" s="201">
        <f t="shared" si="13"/>
        <v>44044</v>
      </c>
      <c r="C51" s="225">
        <f t="shared" si="14"/>
        <v>44077</v>
      </c>
      <c r="D51" s="225">
        <f t="shared" si="14"/>
        <v>44098</v>
      </c>
      <c r="E51" s="211" t="s">
        <v>81</v>
      </c>
      <c r="F51" s="162">
        <v>9</v>
      </c>
      <c r="G51" s="204">
        <v>136</v>
      </c>
      <c r="H51" s="205">
        <f t="shared" si="5"/>
        <v>1093.1099999999999</v>
      </c>
      <c r="I51" s="205">
        <f t="shared" si="1"/>
        <v>1176.9000000000001</v>
      </c>
      <c r="J51" s="209">
        <f t="shared" si="15"/>
        <v>160058.40000000002</v>
      </c>
      <c r="K51" s="213">
        <f t="shared" si="16"/>
        <v>148662.96</v>
      </c>
      <c r="L51" s="212">
        <f t="shared" si="17"/>
        <v>11395.440000000031</v>
      </c>
      <c r="M51" s="209">
        <f t="shared" si="7"/>
        <v>383.813032991748</v>
      </c>
      <c r="N51" s="210">
        <f t="shared" si="8"/>
        <v>11779.253032991779</v>
      </c>
      <c r="O51" s="209">
        <v>0</v>
      </c>
      <c r="P51" s="209">
        <v>0</v>
      </c>
      <c r="Q51" s="209">
        <v>0</v>
      </c>
      <c r="R51" s="210">
        <f t="shared" si="9"/>
        <v>11779.253032991779</v>
      </c>
    </row>
    <row r="52" spans="1:18" x14ac:dyDescent="0.25">
      <c r="A52" s="162">
        <v>9</v>
      </c>
      <c r="B52" s="201">
        <f t="shared" si="13"/>
        <v>44075</v>
      </c>
      <c r="C52" s="225">
        <f t="shared" si="14"/>
        <v>44109</v>
      </c>
      <c r="D52" s="225">
        <f t="shared" si="14"/>
        <v>44130</v>
      </c>
      <c r="E52" s="211" t="s">
        <v>81</v>
      </c>
      <c r="F52" s="162">
        <v>9</v>
      </c>
      <c r="G52" s="204">
        <v>116</v>
      </c>
      <c r="H52" s="205">
        <f t="shared" si="5"/>
        <v>1093.1099999999999</v>
      </c>
      <c r="I52" s="205">
        <f t="shared" si="1"/>
        <v>1176.9000000000001</v>
      </c>
      <c r="J52" s="209">
        <f t="shared" si="15"/>
        <v>136520.40000000002</v>
      </c>
      <c r="K52" s="213">
        <f t="shared" si="16"/>
        <v>126800.76</v>
      </c>
      <c r="L52" s="212">
        <f t="shared" si="17"/>
        <v>9719.6400000000285</v>
      </c>
      <c r="M52" s="209">
        <f t="shared" si="7"/>
        <v>327.36993990472621</v>
      </c>
      <c r="N52" s="210">
        <f t="shared" si="8"/>
        <v>10047.009939904754</v>
      </c>
      <c r="O52" s="209">
        <v>0</v>
      </c>
      <c r="P52" s="209">
        <v>0</v>
      </c>
      <c r="Q52" s="209">
        <v>0</v>
      </c>
      <c r="R52" s="210">
        <f t="shared" si="9"/>
        <v>10047.009939904754</v>
      </c>
    </row>
    <row r="53" spans="1:18" x14ac:dyDescent="0.25">
      <c r="A53" s="125">
        <v>10</v>
      </c>
      <c r="B53" s="201">
        <f t="shared" si="13"/>
        <v>44105</v>
      </c>
      <c r="C53" s="225">
        <f t="shared" si="14"/>
        <v>44139</v>
      </c>
      <c r="D53" s="225">
        <f t="shared" si="14"/>
        <v>44159</v>
      </c>
      <c r="E53" s="211" t="s">
        <v>81</v>
      </c>
      <c r="F53" s="162">
        <v>9</v>
      </c>
      <c r="G53" s="204">
        <v>78</v>
      </c>
      <c r="H53" s="205">
        <f t="shared" si="5"/>
        <v>1093.1099999999999</v>
      </c>
      <c r="I53" s="205">
        <f t="shared" si="1"/>
        <v>1176.9000000000001</v>
      </c>
      <c r="J53" s="209">
        <f t="shared" si="15"/>
        <v>91798.200000000012</v>
      </c>
      <c r="K53" s="213">
        <f t="shared" si="16"/>
        <v>85262.579999999987</v>
      </c>
      <c r="L53" s="212">
        <f t="shared" si="17"/>
        <v>6535.6200000000244</v>
      </c>
      <c r="M53" s="209">
        <f t="shared" si="7"/>
        <v>220.12806303938487</v>
      </c>
      <c r="N53" s="210">
        <f t="shared" si="8"/>
        <v>6755.7480630394093</v>
      </c>
      <c r="O53" s="209">
        <v>0</v>
      </c>
      <c r="P53" s="209">
        <v>0</v>
      </c>
      <c r="Q53" s="209">
        <v>0</v>
      </c>
      <c r="R53" s="210">
        <f t="shared" si="9"/>
        <v>6755.7480630394093</v>
      </c>
    </row>
    <row r="54" spans="1:18" x14ac:dyDescent="0.25">
      <c r="A54" s="162">
        <v>11</v>
      </c>
      <c r="B54" s="201">
        <f t="shared" si="13"/>
        <v>44136</v>
      </c>
      <c r="C54" s="225">
        <f t="shared" si="14"/>
        <v>44168</v>
      </c>
      <c r="D54" s="225">
        <f t="shared" si="14"/>
        <v>44189</v>
      </c>
      <c r="E54" s="211" t="s">
        <v>81</v>
      </c>
      <c r="F54" s="162">
        <v>9</v>
      </c>
      <c r="G54" s="204">
        <v>109</v>
      </c>
      <c r="H54" s="205">
        <f t="shared" si="5"/>
        <v>1093.1099999999999</v>
      </c>
      <c r="I54" s="205">
        <f t="shared" si="1"/>
        <v>1176.9000000000001</v>
      </c>
      <c r="J54" s="209">
        <f t="shared" si="15"/>
        <v>128282.1</v>
      </c>
      <c r="K54" s="213">
        <f t="shared" si="16"/>
        <v>119148.98999999999</v>
      </c>
      <c r="L54" s="212">
        <f t="shared" si="17"/>
        <v>9133.1100000000151</v>
      </c>
      <c r="M54" s="209">
        <f t="shared" si="7"/>
        <v>307.6148573242686</v>
      </c>
      <c r="N54" s="210">
        <f t="shared" si="8"/>
        <v>9440.7248573242832</v>
      </c>
      <c r="O54" s="209">
        <v>0</v>
      </c>
      <c r="P54" s="209">
        <v>0</v>
      </c>
      <c r="Q54" s="209">
        <v>0</v>
      </c>
      <c r="R54" s="210">
        <f t="shared" si="9"/>
        <v>9440.7248573242832</v>
      </c>
    </row>
    <row r="55" spans="1:18" x14ac:dyDescent="0.25">
      <c r="A55" s="162">
        <v>12</v>
      </c>
      <c r="B55" s="201">
        <f t="shared" si="13"/>
        <v>44166</v>
      </c>
      <c r="C55" s="225">
        <f t="shared" si="14"/>
        <v>44202</v>
      </c>
      <c r="D55" s="225">
        <f t="shared" si="14"/>
        <v>44221</v>
      </c>
      <c r="E55" s="211" t="s">
        <v>81</v>
      </c>
      <c r="F55" s="162">
        <v>9</v>
      </c>
      <c r="G55" s="216">
        <v>143</v>
      </c>
      <c r="H55" s="217">
        <f t="shared" si="5"/>
        <v>1093.1099999999999</v>
      </c>
      <c r="I55" s="217">
        <f t="shared" si="1"/>
        <v>1176.9000000000001</v>
      </c>
      <c r="J55" s="218">
        <f t="shared" si="15"/>
        <v>168296.7</v>
      </c>
      <c r="K55" s="219">
        <f t="shared" si="16"/>
        <v>156314.72999999998</v>
      </c>
      <c r="L55" s="220">
        <f t="shared" si="17"/>
        <v>11981.97000000003</v>
      </c>
      <c r="M55" s="209">
        <f t="shared" si="7"/>
        <v>403.56811557220561</v>
      </c>
      <c r="N55" s="210">
        <f t="shared" si="8"/>
        <v>12385.538115572235</v>
      </c>
      <c r="O55" s="209">
        <v>0</v>
      </c>
      <c r="P55" s="209">
        <v>0</v>
      </c>
      <c r="Q55" s="209">
        <v>0</v>
      </c>
      <c r="R55" s="210">
        <f t="shared" si="9"/>
        <v>12385.538115572235</v>
      </c>
    </row>
    <row r="56" spans="1:18" s="226" customFormat="1" x14ac:dyDescent="0.25">
      <c r="A56" s="125">
        <v>1</v>
      </c>
      <c r="B56" s="221">
        <f t="shared" si="4"/>
        <v>43831</v>
      </c>
      <c r="C56" s="222">
        <f t="shared" ref="C56:D67" si="18">+C32</f>
        <v>43866</v>
      </c>
      <c r="D56" s="222">
        <f t="shared" si="18"/>
        <v>43885</v>
      </c>
      <c r="E56" s="223" t="s">
        <v>14</v>
      </c>
      <c r="F56" s="224">
        <v>9</v>
      </c>
      <c r="G56" s="204">
        <v>753</v>
      </c>
      <c r="H56" s="205">
        <f t="shared" si="5"/>
        <v>1093.1099999999999</v>
      </c>
      <c r="I56" s="205">
        <f t="shared" si="1"/>
        <v>1176.9000000000001</v>
      </c>
      <c r="J56" s="206">
        <f t="shared" si="2"/>
        <v>886205.70000000007</v>
      </c>
      <c r="K56" s="207">
        <f t="shared" si="11"/>
        <v>823111.83</v>
      </c>
      <c r="L56" s="208">
        <f t="shared" si="12"/>
        <v>63093.870000000112</v>
      </c>
      <c r="M56" s="209">
        <f t="shared" si="7"/>
        <v>2125.0824547263692</v>
      </c>
      <c r="N56" s="210">
        <f t="shared" si="8"/>
        <v>65218.952454726481</v>
      </c>
      <c r="O56" s="209">
        <v>0</v>
      </c>
      <c r="P56" s="209">
        <v>0</v>
      </c>
      <c r="Q56" s="209">
        <v>0</v>
      </c>
      <c r="R56" s="210">
        <f t="shared" si="9"/>
        <v>65218.952454726481</v>
      </c>
    </row>
    <row r="57" spans="1:18" x14ac:dyDescent="0.25">
      <c r="A57" s="162">
        <v>2</v>
      </c>
      <c r="B57" s="201">
        <f t="shared" si="4"/>
        <v>43862</v>
      </c>
      <c r="C57" s="225">
        <f t="shared" si="18"/>
        <v>43894</v>
      </c>
      <c r="D57" s="225">
        <f t="shared" si="18"/>
        <v>43914</v>
      </c>
      <c r="E57" s="211" t="s">
        <v>14</v>
      </c>
      <c r="F57" s="162">
        <v>9</v>
      </c>
      <c r="G57" s="204">
        <v>715</v>
      </c>
      <c r="H57" s="205">
        <f t="shared" si="5"/>
        <v>1093.1099999999999</v>
      </c>
      <c r="I57" s="205">
        <f t="shared" si="1"/>
        <v>1176.9000000000001</v>
      </c>
      <c r="J57" s="206">
        <f t="shared" si="2"/>
        <v>841483.50000000012</v>
      </c>
      <c r="K57" s="207">
        <f t="shared" si="11"/>
        <v>781573.64999999991</v>
      </c>
      <c r="L57" s="208">
        <f t="shared" si="12"/>
        <v>59909.85000000021</v>
      </c>
      <c r="M57" s="209">
        <f t="shared" si="7"/>
        <v>2017.8405778610281</v>
      </c>
      <c r="N57" s="210">
        <f t="shared" si="8"/>
        <v>61927.690577861234</v>
      </c>
      <c r="O57" s="209">
        <v>0</v>
      </c>
      <c r="P57" s="209">
        <v>0</v>
      </c>
      <c r="Q57" s="209">
        <v>0</v>
      </c>
      <c r="R57" s="210">
        <f t="shared" si="9"/>
        <v>61927.690577861234</v>
      </c>
    </row>
    <row r="58" spans="1:18" x14ac:dyDescent="0.25">
      <c r="A58" s="162">
        <v>3</v>
      </c>
      <c r="B58" s="201">
        <f t="shared" si="4"/>
        <v>43891</v>
      </c>
      <c r="C58" s="225">
        <f t="shared" si="18"/>
        <v>43924</v>
      </c>
      <c r="D58" s="225">
        <f t="shared" si="18"/>
        <v>43945</v>
      </c>
      <c r="E58" s="211" t="s">
        <v>14</v>
      </c>
      <c r="F58" s="162">
        <v>9</v>
      </c>
      <c r="G58" s="204">
        <v>510</v>
      </c>
      <c r="H58" s="205">
        <f t="shared" si="5"/>
        <v>1093.1099999999999</v>
      </c>
      <c r="I58" s="205">
        <f t="shared" si="1"/>
        <v>1176.9000000000001</v>
      </c>
      <c r="J58" s="206">
        <f t="shared" si="2"/>
        <v>600219</v>
      </c>
      <c r="K58" s="207">
        <f t="shared" si="11"/>
        <v>557486.1</v>
      </c>
      <c r="L58" s="208">
        <f>+J58-K58</f>
        <v>42732.900000000023</v>
      </c>
      <c r="M58" s="209">
        <f t="shared" si="7"/>
        <v>1439.2988737190549</v>
      </c>
      <c r="N58" s="210">
        <f t="shared" si="8"/>
        <v>44172.198873719077</v>
      </c>
      <c r="O58" s="209">
        <v>0</v>
      </c>
      <c r="P58" s="209">
        <v>0</v>
      </c>
      <c r="Q58" s="209">
        <v>0</v>
      </c>
      <c r="R58" s="210">
        <f t="shared" si="9"/>
        <v>44172.198873719077</v>
      </c>
    </row>
    <row r="59" spans="1:18" x14ac:dyDescent="0.25">
      <c r="A59" s="125">
        <v>4</v>
      </c>
      <c r="B59" s="201">
        <f t="shared" si="4"/>
        <v>43922</v>
      </c>
      <c r="C59" s="225">
        <f t="shared" si="18"/>
        <v>43956</v>
      </c>
      <c r="D59" s="225">
        <f t="shared" si="18"/>
        <v>43976</v>
      </c>
      <c r="E59" s="211" t="s">
        <v>14</v>
      </c>
      <c r="F59" s="162">
        <v>9</v>
      </c>
      <c r="G59" s="204">
        <v>615</v>
      </c>
      <c r="H59" s="205">
        <f t="shared" si="5"/>
        <v>1093.1099999999999</v>
      </c>
      <c r="I59" s="205">
        <f t="shared" si="1"/>
        <v>1176.9000000000001</v>
      </c>
      <c r="J59" s="206">
        <f t="shared" si="2"/>
        <v>723793.5</v>
      </c>
      <c r="K59" s="207">
        <f t="shared" si="11"/>
        <v>672262.64999999991</v>
      </c>
      <c r="L59" s="208">
        <f t="shared" ref="L59:L81" si="19">+J59-K59</f>
        <v>51530.850000000093</v>
      </c>
      <c r="M59" s="209">
        <f t="shared" si="7"/>
        <v>1735.625112425919</v>
      </c>
      <c r="N59" s="210">
        <f t="shared" si="8"/>
        <v>53266.475112426015</v>
      </c>
      <c r="O59" s="209">
        <v>0</v>
      </c>
      <c r="P59" s="209">
        <v>0</v>
      </c>
      <c r="Q59" s="209">
        <v>0</v>
      </c>
      <c r="R59" s="210">
        <f t="shared" si="9"/>
        <v>53266.475112426015</v>
      </c>
    </row>
    <row r="60" spans="1:18" x14ac:dyDescent="0.25">
      <c r="A60" s="162">
        <v>5</v>
      </c>
      <c r="B60" s="201">
        <f t="shared" si="4"/>
        <v>43952</v>
      </c>
      <c r="C60" s="225">
        <f t="shared" si="18"/>
        <v>43985</v>
      </c>
      <c r="D60" s="225">
        <f t="shared" si="18"/>
        <v>44006</v>
      </c>
      <c r="E60" s="54" t="s">
        <v>14</v>
      </c>
      <c r="F60" s="162">
        <v>9</v>
      </c>
      <c r="G60" s="204">
        <v>551</v>
      </c>
      <c r="H60" s="205">
        <f t="shared" si="5"/>
        <v>1093.1099999999999</v>
      </c>
      <c r="I60" s="205">
        <f t="shared" si="1"/>
        <v>1176.9000000000001</v>
      </c>
      <c r="J60" s="206">
        <f t="shared" si="2"/>
        <v>648471.9</v>
      </c>
      <c r="K60" s="207">
        <f t="shared" si="11"/>
        <v>602303.61</v>
      </c>
      <c r="L60" s="208">
        <f t="shared" si="19"/>
        <v>46168.290000000037</v>
      </c>
      <c r="M60" s="209">
        <f t="shared" si="7"/>
        <v>1555.0072145474494</v>
      </c>
      <c r="N60" s="210">
        <f t="shared" si="8"/>
        <v>47723.297214547485</v>
      </c>
      <c r="O60" s="209">
        <v>0</v>
      </c>
      <c r="P60" s="209">
        <v>0</v>
      </c>
      <c r="Q60" s="209">
        <v>0</v>
      </c>
      <c r="R60" s="210">
        <f t="shared" si="9"/>
        <v>47723.297214547485</v>
      </c>
    </row>
    <row r="61" spans="1:18" x14ac:dyDescent="0.25">
      <c r="A61" s="162">
        <v>6</v>
      </c>
      <c r="B61" s="201">
        <f t="shared" si="4"/>
        <v>43983</v>
      </c>
      <c r="C61" s="225">
        <f t="shared" si="18"/>
        <v>44015</v>
      </c>
      <c r="D61" s="225">
        <f t="shared" si="18"/>
        <v>44036</v>
      </c>
      <c r="E61" s="54" t="s">
        <v>14</v>
      </c>
      <c r="F61" s="162">
        <v>9</v>
      </c>
      <c r="G61" s="204">
        <v>815</v>
      </c>
      <c r="H61" s="205">
        <f t="shared" si="5"/>
        <v>1093.1099999999999</v>
      </c>
      <c r="I61" s="205">
        <f t="shared" si="1"/>
        <v>1176.9000000000001</v>
      </c>
      <c r="J61" s="206">
        <f t="shared" si="2"/>
        <v>959173.50000000012</v>
      </c>
      <c r="K61" s="207">
        <f t="shared" si="11"/>
        <v>890884.64999999991</v>
      </c>
      <c r="L61" s="212">
        <f t="shared" si="19"/>
        <v>68288.85000000021</v>
      </c>
      <c r="M61" s="209">
        <f t="shared" si="7"/>
        <v>2300.0560432961365</v>
      </c>
      <c r="N61" s="210">
        <f t="shared" si="8"/>
        <v>70588.906043296345</v>
      </c>
      <c r="O61" s="209">
        <v>0</v>
      </c>
      <c r="P61" s="209">
        <v>0</v>
      </c>
      <c r="Q61" s="209">
        <v>0</v>
      </c>
      <c r="R61" s="210">
        <f t="shared" si="9"/>
        <v>70588.906043296345</v>
      </c>
    </row>
    <row r="62" spans="1:18" x14ac:dyDescent="0.25">
      <c r="A62" s="125">
        <v>7</v>
      </c>
      <c r="B62" s="201">
        <f t="shared" si="4"/>
        <v>44013</v>
      </c>
      <c r="C62" s="225">
        <f t="shared" si="18"/>
        <v>44048</v>
      </c>
      <c r="D62" s="225">
        <f t="shared" si="18"/>
        <v>44067</v>
      </c>
      <c r="E62" s="54" t="s">
        <v>14</v>
      </c>
      <c r="F62" s="162">
        <v>9</v>
      </c>
      <c r="G62" s="204">
        <v>816</v>
      </c>
      <c r="H62" s="205">
        <f t="shared" si="5"/>
        <v>1093.1099999999999</v>
      </c>
      <c r="I62" s="205">
        <f t="shared" si="1"/>
        <v>1176.9000000000001</v>
      </c>
      <c r="J62" s="206">
        <f t="shared" si="2"/>
        <v>960350.4</v>
      </c>
      <c r="K62" s="213">
        <f t="shared" si="11"/>
        <v>891977.75999999989</v>
      </c>
      <c r="L62" s="212">
        <f t="shared" si="19"/>
        <v>68372.64000000013</v>
      </c>
      <c r="M62" s="209">
        <f t="shared" si="7"/>
        <v>2302.8781979504879</v>
      </c>
      <c r="N62" s="210">
        <f t="shared" si="8"/>
        <v>70675.518197950616</v>
      </c>
      <c r="O62" s="209">
        <v>0</v>
      </c>
      <c r="P62" s="209">
        <v>0</v>
      </c>
      <c r="Q62" s="209">
        <v>0</v>
      </c>
      <c r="R62" s="210">
        <f t="shared" si="9"/>
        <v>70675.518197950616</v>
      </c>
    </row>
    <row r="63" spans="1:18" x14ac:dyDescent="0.25">
      <c r="A63" s="162">
        <v>8</v>
      </c>
      <c r="B63" s="201">
        <f t="shared" si="4"/>
        <v>44044</v>
      </c>
      <c r="C63" s="225">
        <f t="shared" si="18"/>
        <v>44077</v>
      </c>
      <c r="D63" s="225">
        <f t="shared" si="18"/>
        <v>44098</v>
      </c>
      <c r="E63" s="54" t="s">
        <v>14</v>
      </c>
      <c r="F63" s="162">
        <v>9</v>
      </c>
      <c r="G63" s="204">
        <v>889</v>
      </c>
      <c r="H63" s="205">
        <f t="shared" si="5"/>
        <v>1093.1099999999999</v>
      </c>
      <c r="I63" s="205">
        <f t="shared" si="1"/>
        <v>1176.9000000000001</v>
      </c>
      <c r="J63" s="206">
        <f t="shared" si="2"/>
        <v>1046264.1000000001</v>
      </c>
      <c r="K63" s="213">
        <f t="shared" si="11"/>
        <v>971774.78999999992</v>
      </c>
      <c r="L63" s="212">
        <f t="shared" si="19"/>
        <v>74489.310000000172</v>
      </c>
      <c r="M63" s="209">
        <f t="shared" si="7"/>
        <v>2508.8954877181172</v>
      </c>
      <c r="N63" s="210">
        <f t="shared" si="8"/>
        <v>76998.205487718296</v>
      </c>
      <c r="O63" s="209">
        <v>0</v>
      </c>
      <c r="P63" s="209">
        <v>0</v>
      </c>
      <c r="Q63" s="209">
        <v>0</v>
      </c>
      <c r="R63" s="210">
        <f t="shared" si="9"/>
        <v>76998.205487718296</v>
      </c>
    </row>
    <row r="64" spans="1:18" x14ac:dyDescent="0.25">
      <c r="A64" s="162">
        <v>9</v>
      </c>
      <c r="B64" s="201">
        <f t="shared" si="4"/>
        <v>44075</v>
      </c>
      <c r="C64" s="225">
        <f t="shared" si="18"/>
        <v>44109</v>
      </c>
      <c r="D64" s="225">
        <f t="shared" si="18"/>
        <v>44130</v>
      </c>
      <c r="E64" s="54" t="s">
        <v>14</v>
      </c>
      <c r="F64" s="162">
        <v>9</v>
      </c>
      <c r="G64" s="204">
        <v>768</v>
      </c>
      <c r="H64" s="205">
        <f t="shared" si="5"/>
        <v>1093.1099999999999</v>
      </c>
      <c r="I64" s="205">
        <f t="shared" ref="I64:I107" si="20">$J$3</f>
        <v>1176.9000000000001</v>
      </c>
      <c r="J64" s="206">
        <f t="shared" si="2"/>
        <v>903859.20000000007</v>
      </c>
      <c r="K64" s="213">
        <f t="shared" si="11"/>
        <v>839508.47999999998</v>
      </c>
      <c r="L64" s="212">
        <f t="shared" si="19"/>
        <v>64350.720000000088</v>
      </c>
      <c r="M64" s="209">
        <f t="shared" si="7"/>
        <v>2167.4147745416353</v>
      </c>
      <c r="N64" s="210">
        <f t="shared" si="8"/>
        <v>66518.13477454173</v>
      </c>
      <c r="O64" s="209">
        <v>0</v>
      </c>
      <c r="P64" s="209">
        <v>0</v>
      </c>
      <c r="Q64" s="209">
        <v>0</v>
      </c>
      <c r="R64" s="210">
        <f t="shared" si="9"/>
        <v>66518.13477454173</v>
      </c>
    </row>
    <row r="65" spans="1:18" x14ac:dyDescent="0.25">
      <c r="A65" s="125">
        <v>10</v>
      </c>
      <c r="B65" s="201">
        <f t="shared" si="4"/>
        <v>44105</v>
      </c>
      <c r="C65" s="225">
        <f t="shared" si="18"/>
        <v>44139</v>
      </c>
      <c r="D65" s="225">
        <f t="shared" si="18"/>
        <v>44159</v>
      </c>
      <c r="E65" s="54" t="s">
        <v>14</v>
      </c>
      <c r="F65" s="162">
        <v>9</v>
      </c>
      <c r="G65" s="204">
        <v>633</v>
      </c>
      <c r="H65" s="205">
        <f t="shared" si="5"/>
        <v>1093.1099999999999</v>
      </c>
      <c r="I65" s="205">
        <f t="shared" si="20"/>
        <v>1176.9000000000001</v>
      </c>
      <c r="J65" s="206">
        <f t="shared" si="2"/>
        <v>744977.70000000007</v>
      </c>
      <c r="K65" s="213">
        <f t="shared" si="11"/>
        <v>691938.62999999989</v>
      </c>
      <c r="L65" s="212">
        <f t="shared" si="19"/>
        <v>53039.070000000182</v>
      </c>
      <c r="M65" s="209">
        <f t="shared" si="7"/>
        <v>1786.4238962042386</v>
      </c>
      <c r="N65" s="210">
        <f t="shared" si="8"/>
        <v>54825.493896204418</v>
      </c>
      <c r="O65" s="209">
        <v>0</v>
      </c>
      <c r="P65" s="209">
        <v>0</v>
      </c>
      <c r="Q65" s="209">
        <v>0</v>
      </c>
      <c r="R65" s="210">
        <f t="shared" si="9"/>
        <v>54825.493896204418</v>
      </c>
    </row>
    <row r="66" spans="1:18" x14ac:dyDescent="0.25">
      <c r="A66" s="162">
        <v>11</v>
      </c>
      <c r="B66" s="201">
        <f t="shared" si="4"/>
        <v>44136</v>
      </c>
      <c r="C66" s="225">
        <f t="shared" si="18"/>
        <v>44168</v>
      </c>
      <c r="D66" s="225">
        <f t="shared" si="18"/>
        <v>44189</v>
      </c>
      <c r="E66" s="54" t="s">
        <v>14</v>
      </c>
      <c r="F66" s="162">
        <v>9</v>
      </c>
      <c r="G66" s="204">
        <v>639</v>
      </c>
      <c r="H66" s="205">
        <f t="shared" si="5"/>
        <v>1093.1099999999999</v>
      </c>
      <c r="I66" s="205">
        <f t="shared" si="20"/>
        <v>1176.9000000000001</v>
      </c>
      <c r="J66" s="206">
        <f t="shared" si="2"/>
        <v>752039.10000000009</v>
      </c>
      <c r="K66" s="213">
        <f t="shared" si="11"/>
        <v>698497.28999999992</v>
      </c>
      <c r="L66" s="212">
        <f t="shared" si="19"/>
        <v>53541.810000000172</v>
      </c>
      <c r="M66" s="209">
        <f t="shared" si="7"/>
        <v>1803.3568241303453</v>
      </c>
      <c r="N66" s="210">
        <f t="shared" si="8"/>
        <v>55345.166824130516</v>
      </c>
      <c r="O66" s="209">
        <v>0</v>
      </c>
      <c r="P66" s="209">
        <v>0</v>
      </c>
      <c r="Q66" s="209">
        <v>0</v>
      </c>
      <c r="R66" s="210">
        <f t="shared" si="9"/>
        <v>55345.166824130516</v>
      </c>
    </row>
    <row r="67" spans="1:18" s="229" customFormat="1" x14ac:dyDescent="0.25">
      <c r="A67" s="162">
        <v>12</v>
      </c>
      <c r="B67" s="227">
        <f t="shared" si="4"/>
        <v>44166</v>
      </c>
      <c r="C67" s="225">
        <f t="shared" si="18"/>
        <v>44202</v>
      </c>
      <c r="D67" s="225">
        <f t="shared" si="18"/>
        <v>44221</v>
      </c>
      <c r="E67" s="228" t="s">
        <v>14</v>
      </c>
      <c r="F67" s="173">
        <v>9</v>
      </c>
      <c r="G67" s="216">
        <v>734</v>
      </c>
      <c r="H67" s="217">
        <f t="shared" si="5"/>
        <v>1093.1099999999999</v>
      </c>
      <c r="I67" s="217">
        <f t="shared" si="20"/>
        <v>1176.9000000000001</v>
      </c>
      <c r="J67" s="218">
        <f t="shared" si="2"/>
        <v>863844.60000000009</v>
      </c>
      <c r="K67" s="219">
        <f t="shared" si="11"/>
        <v>802342.73999999987</v>
      </c>
      <c r="L67" s="220">
        <f t="shared" si="19"/>
        <v>61501.860000000219</v>
      </c>
      <c r="M67" s="209">
        <f t="shared" si="7"/>
        <v>2071.4615162936984</v>
      </c>
      <c r="N67" s="210">
        <f t="shared" si="8"/>
        <v>63573.321516293916</v>
      </c>
      <c r="O67" s="209">
        <v>0</v>
      </c>
      <c r="P67" s="209">
        <v>0</v>
      </c>
      <c r="Q67" s="209">
        <v>0</v>
      </c>
      <c r="R67" s="210">
        <f t="shared" si="9"/>
        <v>63573.321516293916</v>
      </c>
    </row>
    <row r="68" spans="1:18" x14ac:dyDescent="0.25">
      <c r="A68" s="125">
        <v>1</v>
      </c>
      <c r="B68" s="201">
        <f t="shared" si="4"/>
        <v>43831</v>
      </c>
      <c r="C68" s="222">
        <f t="shared" ref="C68:D79" si="21">+C56</f>
        <v>43866</v>
      </c>
      <c r="D68" s="222">
        <f t="shared" si="21"/>
        <v>43885</v>
      </c>
      <c r="E68" s="203" t="s">
        <v>83</v>
      </c>
      <c r="F68" s="125">
        <v>9</v>
      </c>
      <c r="G68" s="204">
        <v>41</v>
      </c>
      <c r="H68" s="205">
        <f t="shared" si="5"/>
        <v>1093.1099999999999</v>
      </c>
      <c r="I68" s="205">
        <f t="shared" si="20"/>
        <v>1176.9000000000001</v>
      </c>
      <c r="J68" s="206">
        <f t="shared" si="2"/>
        <v>48252.9</v>
      </c>
      <c r="K68" s="207">
        <f t="shared" si="11"/>
        <v>44817.509999999995</v>
      </c>
      <c r="L68" s="208">
        <f t="shared" si="19"/>
        <v>3435.3900000000067</v>
      </c>
      <c r="M68" s="209">
        <f t="shared" si="7"/>
        <v>115.70834082839461</v>
      </c>
      <c r="N68" s="210">
        <f t="shared" si="8"/>
        <v>3551.0983408284014</v>
      </c>
      <c r="O68" s="209">
        <v>0</v>
      </c>
      <c r="P68" s="209">
        <v>0</v>
      </c>
      <c r="Q68" s="209">
        <v>0</v>
      </c>
      <c r="R68" s="210">
        <f t="shared" si="9"/>
        <v>3551.0983408284014</v>
      </c>
    </row>
    <row r="69" spans="1:18" x14ac:dyDescent="0.25">
      <c r="A69" s="162">
        <v>2</v>
      </c>
      <c r="B69" s="201">
        <f t="shared" si="4"/>
        <v>43862</v>
      </c>
      <c r="C69" s="225">
        <f t="shared" si="21"/>
        <v>43894</v>
      </c>
      <c r="D69" s="225">
        <f t="shared" si="21"/>
        <v>43914</v>
      </c>
      <c r="E69" s="211" t="s">
        <v>83</v>
      </c>
      <c r="F69" s="162">
        <v>9</v>
      </c>
      <c r="G69" s="204">
        <v>34</v>
      </c>
      <c r="H69" s="205">
        <f t="shared" si="5"/>
        <v>1093.1099999999999</v>
      </c>
      <c r="I69" s="205">
        <f t="shared" si="20"/>
        <v>1176.9000000000001</v>
      </c>
      <c r="J69" s="206">
        <f t="shared" si="2"/>
        <v>40014.600000000006</v>
      </c>
      <c r="K69" s="207">
        <f t="shared" si="11"/>
        <v>37165.74</v>
      </c>
      <c r="L69" s="208">
        <f t="shared" si="19"/>
        <v>2848.8600000000079</v>
      </c>
      <c r="M69" s="209">
        <f t="shared" si="7"/>
        <v>95.953258247937001</v>
      </c>
      <c r="N69" s="210">
        <f t="shared" si="8"/>
        <v>2944.8132582479448</v>
      </c>
      <c r="O69" s="209">
        <v>0</v>
      </c>
      <c r="P69" s="209">
        <v>0</v>
      </c>
      <c r="Q69" s="209">
        <v>0</v>
      </c>
      <c r="R69" s="210">
        <f t="shared" si="9"/>
        <v>2944.8132582479448</v>
      </c>
    </row>
    <row r="70" spans="1:18" x14ac:dyDescent="0.25">
      <c r="A70" s="162">
        <v>3</v>
      </c>
      <c r="B70" s="201">
        <f t="shared" si="4"/>
        <v>43891</v>
      </c>
      <c r="C70" s="225">
        <f t="shared" si="21"/>
        <v>43924</v>
      </c>
      <c r="D70" s="225">
        <f t="shared" si="21"/>
        <v>43945</v>
      </c>
      <c r="E70" s="211" t="s">
        <v>83</v>
      </c>
      <c r="F70" s="162">
        <v>9</v>
      </c>
      <c r="G70" s="204">
        <v>25</v>
      </c>
      <c r="H70" s="205">
        <f t="shared" si="5"/>
        <v>1093.1099999999999</v>
      </c>
      <c r="I70" s="205">
        <f t="shared" si="20"/>
        <v>1176.9000000000001</v>
      </c>
      <c r="J70" s="206">
        <f t="shared" si="2"/>
        <v>29422.500000000004</v>
      </c>
      <c r="K70" s="207">
        <f t="shared" si="11"/>
        <v>27327.749999999996</v>
      </c>
      <c r="L70" s="208">
        <f>+J70-K70</f>
        <v>2094.7500000000073</v>
      </c>
      <c r="M70" s="209">
        <f t="shared" si="7"/>
        <v>70.553866358777199</v>
      </c>
      <c r="N70" s="210">
        <f t="shared" si="8"/>
        <v>2165.3038663587845</v>
      </c>
      <c r="O70" s="209">
        <v>0</v>
      </c>
      <c r="P70" s="209">
        <v>0</v>
      </c>
      <c r="Q70" s="209">
        <v>0</v>
      </c>
      <c r="R70" s="210">
        <f t="shared" si="9"/>
        <v>2165.3038663587845</v>
      </c>
    </row>
    <row r="71" spans="1:18" x14ac:dyDescent="0.25">
      <c r="A71" s="125">
        <v>4</v>
      </c>
      <c r="B71" s="201">
        <f t="shared" si="4"/>
        <v>43922</v>
      </c>
      <c r="C71" s="225">
        <f t="shared" si="21"/>
        <v>43956</v>
      </c>
      <c r="D71" s="225">
        <f t="shared" si="21"/>
        <v>43976</v>
      </c>
      <c r="E71" s="211" t="s">
        <v>83</v>
      </c>
      <c r="F71" s="162">
        <v>9</v>
      </c>
      <c r="G71" s="204">
        <v>31</v>
      </c>
      <c r="H71" s="205">
        <f t="shared" si="5"/>
        <v>1093.1099999999999</v>
      </c>
      <c r="I71" s="205">
        <f t="shared" si="20"/>
        <v>1176.9000000000001</v>
      </c>
      <c r="J71" s="206">
        <f t="shared" si="2"/>
        <v>36483.9</v>
      </c>
      <c r="K71" s="207">
        <f t="shared" si="11"/>
        <v>33886.409999999996</v>
      </c>
      <c r="L71" s="208">
        <f t="shared" ref="L71:L79" si="22">+J71-K71</f>
        <v>2597.4900000000052</v>
      </c>
      <c r="M71" s="209">
        <f t="shared" si="7"/>
        <v>87.486794284883729</v>
      </c>
      <c r="N71" s="210">
        <f t="shared" si="8"/>
        <v>2684.9767942848889</v>
      </c>
      <c r="O71" s="209">
        <v>0</v>
      </c>
      <c r="P71" s="209">
        <v>0</v>
      </c>
      <c r="Q71" s="209">
        <v>0</v>
      </c>
      <c r="R71" s="210">
        <f t="shared" si="9"/>
        <v>2684.9767942848889</v>
      </c>
    </row>
    <row r="72" spans="1:18" x14ac:dyDescent="0.25">
      <c r="A72" s="162">
        <v>5</v>
      </c>
      <c r="B72" s="201">
        <f t="shared" si="4"/>
        <v>43952</v>
      </c>
      <c r="C72" s="225">
        <f t="shared" si="21"/>
        <v>43985</v>
      </c>
      <c r="D72" s="225">
        <f t="shared" si="21"/>
        <v>44006</v>
      </c>
      <c r="E72" s="211" t="s">
        <v>83</v>
      </c>
      <c r="F72" s="162">
        <v>9</v>
      </c>
      <c r="G72" s="204">
        <v>28</v>
      </c>
      <c r="H72" s="205">
        <f t="shared" si="5"/>
        <v>1093.1099999999999</v>
      </c>
      <c r="I72" s="205">
        <f t="shared" si="20"/>
        <v>1176.9000000000001</v>
      </c>
      <c r="J72" s="206">
        <f t="shared" si="2"/>
        <v>32953.200000000004</v>
      </c>
      <c r="K72" s="207">
        <f t="shared" si="11"/>
        <v>30607.079999999998</v>
      </c>
      <c r="L72" s="208">
        <f t="shared" si="22"/>
        <v>2346.1200000000063</v>
      </c>
      <c r="M72" s="209">
        <f t="shared" si="7"/>
        <v>79.020330321830457</v>
      </c>
      <c r="N72" s="210">
        <f t="shared" si="8"/>
        <v>2425.1403303218367</v>
      </c>
      <c r="O72" s="209">
        <v>0</v>
      </c>
      <c r="P72" s="209">
        <v>0</v>
      </c>
      <c r="Q72" s="209">
        <v>0</v>
      </c>
      <c r="R72" s="210">
        <f t="shared" si="9"/>
        <v>2425.1403303218367</v>
      </c>
    </row>
    <row r="73" spans="1:18" x14ac:dyDescent="0.25">
      <c r="A73" s="162">
        <v>6</v>
      </c>
      <c r="B73" s="201">
        <f t="shared" si="4"/>
        <v>43983</v>
      </c>
      <c r="C73" s="225">
        <f t="shared" si="21"/>
        <v>44015</v>
      </c>
      <c r="D73" s="225">
        <f t="shared" si="21"/>
        <v>44036</v>
      </c>
      <c r="E73" s="211" t="s">
        <v>83</v>
      </c>
      <c r="F73" s="162">
        <v>9</v>
      </c>
      <c r="G73" s="204">
        <v>46</v>
      </c>
      <c r="H73" s="205">
        <f t="shared" si="5"/>
        <v>1093.1099999999999</v>
      </c>
      <c r="I73" s="205">
        <f t="shared" si="20"/>
        <v>1176.9000000000001</v>
      </c>
      <c r="J73" s="206">
        <f t="shared" si="2"/>
        <v>54137.4</v>
      </c>
      <c r="K73" s="207">
        <f t="shared" si="11"/>
        <v>50283.06</v>
      </c>
      <c r="L73" s="212">
        <f t="shared" si="22"/>
        <v>3854.3400000000038</v>
      </c>
      <c r="M73" s="209">
        <f t="shared" si="7"/>
        <v>129.81911410015005</v>
      </c>
      <c r="N73" s="210">
        <f t="shared" si="8"/>
        <v>3984.1591141001536</v>
      </c>
      <c r="O73" s="209">
        <v>0</v>
      </c>
      <c r="P73" s="209">
        <v>0</v>
      </c>
      <c r="Q73" s="209">
        <v>0</v>
      </c>
      <c r="R73" s="210">
        <f t="shared" si="9"/>
        <v>3984.1591141001536</v>
      </c>
    </row>
    <row r="74" spans="1:18" x14ac:dyDescent="0.25">
      <c r="A74" s="125">
        <v>7</v>
      </c>
      <c r="B74" s="201">
        <f t="shared" si="4"/>
        <v>44013</v>
      </c>
      <c r="C74" s="225">
        <f t="shared" si="21"/>
        <v>44048</v>
      </c>
      <c r="D74" s="225">
        <f t="shared" si="21"/>
        <v>44067</v>
      </c>
      <c r="E74" s="211" t="s">
        <v>83</v>
      </c>
      <c r="F74" s="162">
        <v>9</v>
      </c>
      <c r="G74" s="204">
        <v>46</v>
      </c>
      <c r="H74" s="205">
        <f t="shared" si="5"/>
        <v>1093.1099999999999</v>
      </c>
      <c r="I74" s="205">
        <f t="shared" si="20"/>
        <v>1176.9000000000001</v>
      </c>
      <c r="J74" s="206">
        <f t="shared" si="2"/>
        <v>54137.4</v>
      </c>
      <c r="K74" s="213">
        <f t="shared" si="11"/>
        <v>50283.06</v>
      </c>
      <c r="L74" s="212">
        <f t="shared" si="22"/>
        <v>3854.3400000000038</v>
      </c>
      <c r="M74" s="209">
        <f t="shared" si="7"/>
        <v>129.81911410015005</v>
      </c>
      <c r="N74" s="210">
        <f t="shared" si="8"/>
        <v>3984.1591141001536</v>
      </c>
      <c r="O74" s="209">
        <v>0</v>
      </c>
      <c r="P74" s="209">
        <v>0</v>
      </c>
      <c r="Q74" s="209">
        <v>0</v>
      </c>
      <c r="R74" s="210">
        <f t="shared" si="9"/>
        <v>3984.1591141001536</v>
      </c>
    </row>
    <row r="75" spans="1:18" x14ac:dyDescent="0.25">
      <c r="A75" s="162">
        <v>8</v>
      </c>
      <c r="B75" s="201">
        <f t="shared" si="4"/>
        <v>44044</v>
      </c>
      <c r="C75" s="225">
        <f t="shared" si="21"/>
        <v>44077</v>
      </c>
      <c r="D75" s="225">
        <f t="shared" si="21"/>
        <v>44098</v>
      </c>
      <c r="E75" s="211" t="s">
        <v>83</v>
      </c>
      <c r="F75" s="162">
        <v>9</v>
      </c>
      <c r="G75" s="204">
        <v>43</v>
      </c>
      <c r="H75" s="205">
        <f t="shared" si="5"/>
        <v>1093.1099999999999</v>
      </c>
      <c r="I75" s="205">
        <f t="shared" si="20"/>
        <v>1176.9000000000001</v>
      </c>
      <c r="J75" s="206">
        <f t="shared" si="2"/>
        <v>50606.700000000004</v>
      </c>
      <c r="K75" s="213">
        <f t="shared" si="11"/>
        <v>47003.729999999996</v>
      </c>
      <c r="L75" s="212">
        <f t="shared" si="22"/>
        <v>3602.9700000000084</v>
      </c>
      <c r="M75" s="209">
        <f t="shared" si="7"/>
        <v>121.35265013709679</v>
      </c>
      <c r="N75" s="210">
        <f t="shared" si="8"/>
        <v>3724.322650137105</v>
      </c>
      <c r="O75" s="209">
        <v>0</v>
      </c>
      <c r="P75" s="209">
        <v>0</v>
      </c>
      <c r="Q75" s="209">
        <v>0</v>
      </c>
      <c r="R75" s="210">
        <f t="shared" si="9"/>
        <v>3724.322650137105</v>
      </c>
    </row>
    <row r="76" spans="1:18" x14ac:dyDescent="0.25">
      <c r="A76" s="162">
        <v>9</v>
      </c>
      <c r="B76" s="201">
        <f t="shared" si="4"/>
        <v>44075</v>
      </c>
      <c r="C76" s="225">
        <f t="shared" si="21"/>
        <v>44109</v>
      </c>
      <c r="D76" s="225">
        <f t="shared" si="21"/>
        <v>44130</v>
      </c>
      <c r="E76" s="211" t="s">
        <v>83</v>
      </c>
      <c r="F76" s="162">
        <v>9</v>
      </c>
      <c r="G76" s="204">
        <v>41</v>
      </c>
      <c r="H76" s="205">
        <f t="shared" si="5"/>
        <v>1093.1099999999999</v>
      </c>
      <c r="I76" s="205">
        <f t="shared" si="20"/>
        <v>1176.9000000000001</v>
      </c>
      <c r="J76" s="206">
        <f t="shared" si="2"/>
        <v>48252.9</v>
      </c>
      <c r="K76" s="213">
        <f t="shared" si="11"/>
        <v>44817.509999999995</v>
      </c>
      <c r="L76" s="212">
        <f t="shared" si="22"/>
        <v>3435.3900000000067</v>
      </c>
      <c r="M76" s="209">
        <f t="shared" si="7"/>
        <v>115.70834082839461</v>
      </c>
      <c r="N76" s="210">
        <f t="shared" si="8"/>
        <v>3551.0983408284014</v>
      </c>
      <c r="O76" s="209">
        <v>0</v>
      </c>
      <c r="P76" s="209">
        <v>0</v>
      </c>
      <c r="Q76" s="209">
        <v>0</v>
      </c>
      <c r="R76" s="210">
        <f t="shared" si="9"/>
        <v>3551.0983408284014</v>
      </c>
    </row>
    <row r="77" spans="1:18" x14ac:dyDescent="0.25">
      <c r="A77" s="125">
        <v>10</v>
      </c>
      <c r="B77" s="201">
        <f t="shared" si="4"/>
        <v>44105</v>
      </c>
      <c r="C77" s="225">
        <f t="shared" si="21"/>
        <v>44139</v>
      </c>
      <c r="D77" s="225">
        <f t="shared" si="21"/>
        <v>44159</v>
      </c>
      <c r="E77" s="211" t="s">
        <v>83</v>
      </c>
      <c r="F77" s="162">
        <v>9</v>
      </c>
      <c r="G77" s="204">
        <v>32</v>
      </c>
      <c r="H77" s="205">
        <f t="shared" si="5"/>
        <v>1093.1099999999999</v>
      </c>
      <c r="I77" s="205">
        <f t="shared" si="20"/>
        <v>1176.9000000000001</v>
      </c>
      <c r="J77" s="206">
        <f t="shared" si="2"/>
        <v>37660.800000000003</v>
      </c>
      <c r="K77" s="213">
        <f t="shared" si="11"/>
        <v>34979.519999999997</v>
      </c>
      <c r="L77" s="212">
        <f t="shared" si="22"/>
        <v>2681.2800000000061</v>
      </c>
      <c r="M77" s="209">
        <f t="shared" si="7"/>
        <v>90.30894893923481</v>
      </c>
      <c r="N77" s="210">
        <f t="shared" si="8"/>
        <v>2771.5889489392407</v>
      </c>
      <c r="O77" s="209">
        <v>0</v>
      </c>
      <c r="P77" s="209">
        <v>0</v>
      </c>
      <c r="Q77" s="209">
        <v>0</v>
      </c>
      <c r="R77" s="210">
        <f t="shared" si="9"/>
        <v>2771.5889489392407</v>
      </c>
    </row>
    <row r="78" spans="1:18" x14ac:dyDescent="0.25">
      <c r="A78" s="162">
        <v>11</v>
      </c>
      <c r="B78" s="201">
        <f t="shared" si="4"/>
        <v>44136</v>
      </c>
      <c r="C78" s="225">
        <f t="shared" si="21"/>
        <v>44168</v>
      </c>
      <c r="D78" s="225">
        <f t="shared" si="21"/>
        <v>44189</v>
      </c>
      <c r="E78" s="211" t="s">
        <v>83</v>
      </c>
      <c r="F78" s="162">
        <v>9</v>
      </c>
      <c r="G78" s="204">
        <v>30</v>
      </c>
      <c r="H78" s="205">
        <f t="shared" si="5"/>
        <v>1093.1099999999999</v>
      </c>
      <c r="I78" s="205">
        <f t="shared" si="20"/>
        <v>1176.9000000000001</v>
      </c>
      <c r="J78" s="206">
        <f t="shared" si="2"/>
        <v>35307</v>
      </c>
      <c r="K78" s="213">
        <f>+$G78*H78</f>
        <v>32793.299999999996</v>
      </c>
      <c r="L78" s="212">
        <f t="shared" si="22"/>
        <v>2513.7000000000044</v>
      </c>
      <c r="M78" s="209">
        <f t="shared" si="7"/>
        <v>84.664639630532648</v>
      </c>
      <c r="N78" s="210">
        <f t="shared" si="8"/>
        <v>2598.3646396305371</v>
      </c>
      <c r="O78" s="209">
        <v>0</v>
      </c>
      <c r="P78" s="209">
        <v>0</v>
      </c>
      <c r="Q78" s="209">
        <v>0</v>
      </c>
      <c r="R78" s="210">
        <f t="shared" si="9"/>
        <v>2598.3646396305371</v>
      </c>
    </row>
    <row r="79" spans="1:18" s="229" customFormat="1" x14ac:dyDescent="0.25">
      <c r="A79" s="162">
        <v>12</v>
      </c>
      <c r="B79" s="227">
        <f t="shared" si="4"/>
        <v>44166</v>
      </c>
      <c r="C79" s="230">
        <f t="shared" si="21"/>
        <v>44202</v>
      </c>
      <c r="D79" s="230">
        <f t="shared" si="21"/>
        <v>44221</v>
      </c>
      <c r="E79" s="231" t="s">
        <v>83</v>
      </c>
      <c r="F79" s="173">
        <v>9</v>
      </c>
      <c r="G79" s="216">
        <v>39</v>
      </c>
      <c r="H79" s="217">
        <f t="shared" si="5"/>
        <v>1093.1099999999999</v>
      </c>
      <c r="I79" s="217">
        <f t="shared" si="20"/>
        <v>1176.9000000000001</v>
      </c>
      <c r="J79" s="218">
        <f t="shared" si="2"/>
        <v>45899.100000000006</v>
      </c>
      <c r="K79" s="219">
        <f>+$G79*H79</f>
        <v>42631.289999999994</v>
      </c>
      <c r="L79" s="220">
        <f t="shared" si="22"/>
        <v>3267.8100000000122</v>
      </c>
      <c r="M79" s="209">
        <f t="shared" si="7"/>
        <v>110.06403151969243</v>
      </c>
      <c r="N79" s="210">
        <f t="shared" si="8"/>
        <v>3377.8740315197047</v>
      </c>
      <c r="O79" s="209">
        <v>0</v>
      </c>
      <c r="P79" s="209">
        <v>0</v>
      </c>
      <c r="Q79" s="209">
        <v>0</v>
      </c>
      <c r="R79" s="210">
        <f t="shared" si="9"/>
        <v>3377.8740315197047</v>
      </c>
    </row>
    <row r="80" spans="1:18" s="52" customFormat="1" ht="12.75" customHeight="1" x14ac:dyDescent="0.25">
      <c r="A80" s="125">
        <v>1</v>
      </c>
      <c r="B80" s="201">
        <f t="shared" si="4"/>
        <v>43831</v>
      </c>
      <c r="C80" s="222">
        <f t="shared" ref="C80:D91" si="23">+C56</f>
        <v>43866</v>
      </c>
      <c r="D80" s="222">
        <f t="shared" si="23"/>
        <v>43885</v>
      </c>
      <c r="E80" s="203" t="s">
        <v>9</v>
      </c>
      <c r="F80" s="125">
        <v>9</v>
      </c>
      <c r="G80" s="204">
        <v>40</v>
      </c>
      <c r="H80" s="205">
        <f t="shared" si="5"/>
        <v>1093.1099999999999</v>
      </c>
      <c r="I80" s="205">
        <f t="shared" si="20"/>
        <v>1176.9000000000001</v>
      </c>
      <c r="J80" s="206">
        <f t="shared" si="2"/>
        <v>47076</v>
      </c>
      <c r="K80" s="207">
        <f t="shared" si="11"/>
        <v>43724.399999999994</v>
      </c>
      <c r="L80" s="208">
        <f t="shared" si="19"/>
        <v>3351.6000000000058</v>
      </c>
      <c r="M80" s="209">
        <f t="shared" si="7"/>
        <v>112.88618617404353</v>
      </c>
      <c r="N80" s="210">
        <f t="shared" si="8"/>
        <v>3464.4861861740492</v>
      </c>
      <c r="O80" s="209">
        <v>0</v>
      </c>
      <c r="P80" s="209">
        <v>0</v>
      </c>
      <c r="Q80" s="209">
        <v>0</v>
      </c>
      <c r="R80" s="210">
        <f t="shared" si="9"/>
        <v>3464.4861861740492</v>
      </c>
    </row>
    <row r="81" spans="1:18" x14ac:dyDescent="0.25">
      <c r="A81" s="162">
        <v>2</v>
      </c>
      <c r="B81" s="201">
        <f t="shared" si="4"/>
        <v>43862</v>
      </c>
      <c r="C81" s="225">
        <f t="shared" si="23"/>
        <v>43894</v>
      </c>
      <c r="D81" s="225">
        <f t="shared" si="23"/>
        <v>43914</v>
      </c>
      <c r="E81" s="211" t="s">
        <v>9</v>
      </c>
      <c r="F81" s="162">
        <v>9</v>
      </c>
      <c r="G81" s="204">
        <v>42</v>
      </c>
      <c r="H81" s="205">
        <f t="shared" si="5"/>
        <v>1093.1099999999999</v>
      </c>
      <c r="I81" s="205">
        <f t="shared" si="20"/>
        <v>1176.9000000000001</v>
      </c>
      <c r="J81" s="206">
        <f t="shared" si="2"/>
        <v>49429.8</v>
      </c>
      <c r="K81" s="207">
        <f t="shared" si="11"/>
        <v>45910.619999999995</v>
      </c>
      <c r="L81" s="208">
        <f t="shared" si="19"/>
        <v>3519.1800000000076</v>
      </c>
      <c r="M81" s="209">
        <f t="shared" si="7"/>
        <v>118.53049548274569</v>
      </c>
      <c r="N81" s="210">
        <f t="shared" si="8"/>
        <v>3637.7104954827532</v>
      </c>
      <c r="O81" s="209">
        <v>0</v>
      </c>
      <c r="P81" s="209">
        <v>0</v>
      </c>
      <c r="Q81" s="209">
        <v>0</v>
      </c>
      <c r="R81" s="210">
        <f t="shared" si="9"/>
        <v>3637.7104954827532</v>
      </c>
    </row>
    <row r="82" spans="1:18" x14ac:dyDescent="0.25">
      <c r="A82" s="162">
        <v>3</v>
      </c>
      <c r="B82" s="201">
        <f t="shared" si="4"/>
        <v>43891</v>
      </c>
      <c r="C82" s="225">
        <f t="shared" si="23"/>
        <v>43924</v>
      </c>
      <c r="D82" s="225">
        <f t="shared" si="23"/>
        <v>43945</v>
      </c>
      <c r="E82" s="211" t="s">
        <v>9</v>
      </c>
      <c r="F82" s="162">
        <v>9</v>
      </c>
      <c r="G82" s="204">
        <v>29</v>
      </c>
      <c r="H82" s="205">
        <f t="shared" si="5"/>
        <v>1093.1099999999999</v>
      </c>
      <c r="I82" s="205">
        <f t="shared" si="20"/>
        <v>1176.9000000000001</v>
      </c>
      <c r="J82" s="206">
        <f t="shared" si="2"/>
        <v>34130.100000000006</v>
      </c>
      <c r="K82" s="207">
        <f t="shared" si="11"/>
        <v>31700.19</v>
      </c>
      <c r="L82" s="208">
        <f>+J82-K82</f>
        <v>2429.9100000000071</v>
      </c>
      <c r="M82" s="209">
        <f t="shared" si="7"/>
        <v>81.842484976181552</v>
      </c>
      <c r="N82" s="210">
        <f t="shared" si="8"/>
        <v>2511.7524849761885</v>
      </c>
      <c r="O82" s="209">
        <v>0</v>
      </c>
      <c r="P82" s="209">
        <v>0</v>
      </c>
      <c r="Q82" s="209">
        <v>0</v>
      </c>
      <c r="R82" s="210">
        <f t="shared" si="9"/>
        <v>2511.7524849761885</v>
      </c>
    </row>
    <row r="83" spans="1:18" ht="12" customHeight="1" x14ac:dyDescent="0.25">
      <c r="A83" s="125">
        <v>4</v>
      </c>
      <c r="B83" s="201">
        <f t="shared" si="4"/>
        <v>43922</v>
      </c>
      <c r="C83" s="225">
        <f t="shared" si="23"/>
        <v>43956</v>
      </c>
      <c r="D83" s="225">
        <f t="shared" si="23"/>
        <v>43976</v>
      </c>
      <c r="E83" s="54" t="s">
        <v>9</v>
      </c>
      <c r="F83" s="162">
        <v>9</v>
      </c>
      <c r="G83" s="204">
        <v>32</v>
      </c>
      <c r="H83" s="205">
        <f t="shared" si="5"/>
        <v>1093.1099999999999</v>
      </c>
      <c r="I83" s="205">
        <f t="shared" si="20"/>
        <v>1176.9000000000001</v>
      </c>
      <c r="J83" s="206">
        <f t="shared" si="2"/>
        <v>37660.800000000003</v>
      </c>
      <c r="K83" s="207">
        <f t="shared" si="11"/>
        <v>34979.519999999997</v>
      </c>
      <c r="L83" s="208">
        <f t="shared" ref="L83:L93" si="24">+J83-K83</f>
        <v>2681.2800000000061</v>
      </c>
      <c r="M83" s="209">
        <f t="shared" si="7"/>
        <v>90.30894893923481</v>
      </c>
      <c r="N83" s="210">
        <f t="shared" si="8"/>
        <v>2771.5889489392407</v>
      </c>
      <c r="O83" s="209">
        <v>0</v>
      </c>
      <c r="P83" s="209">
        <v>0</v>
      </c>
      <c r="Q83" s="209">
        <v>0</v>
      </c>
      <c r="R83" s="210">
        <f t="shared" si="9"/>
        <v>2771.5889489392407</v>
      </c>
    </row>
    <row r="84" spans="1:18" ht="12" customHeight="1" x14ac:dyDescent="0.25">
      <c r="A84" s="162">
        <v>5</v>
      </c>
      <c r="B84" s="201">
        <f t="shared" si="4"/>
        <v>43952</v>
      </c>
      <c r="C84" s="225">
        <f t="shared" si="23"/>
        <v>43985</v>
      </c>
      <c r="D84" s="225">
        <f t="shared" si="23"/>
        <v>44006</v>
      </c>
      <c r="E84" s="54" t="s">
        <v>9</v>
      </c>
      <c r="F84" s="162">
        <v>9</v>
      </c>
      <c r="G84" s="204">
        <v>24</v>
      </c>
      <c r="H84" s="205">
        <f t="shared" si="5"/>
        <v>1093.1099999999999</v>
      </c>
      <c r="I84" s="205">
        <f t="shared" si="20"/>
        <v>1176.9000000000001</v>
      </c>
      <c r="J84" s="206">
        <f t="shared" si="2"/>
        <v>28245.600000000002</v>
      </c>
      <c r="K84" s="207">
        <f t="shared" si="11"/>
        <v>26234.639999999999</v>
      </c>
      <c r="L84" s="208">
        <f t="shared" si="24"/>
        <v>2010.9600000000028</v>
      </c>
      <c r="M84" s="209">
        <f t="shared" si="7"/>
        <v>67.731711704426104</v>
      </c>
      <c r="N84" s="210">
        <f t="shared" si="8"/>
        <v>2078.6917117044291</v>
      </c>
      <c r="O84" s="209">
        <v>0</v>
      </c>
      <c r="P84" s="209">
        <v>0</v>
      </c>
      <c r="Q84" s="209">
        <v>0</v>
      </c>
      <c r="R84" s="210">
        <f t="shared" si="9"/>
        <v>2078.6917117044291</v>
      </c>
    </row>
    <row r="85" spans="1:18" x14ac:dyDescent="0.25">
      <c r="A85" s="162">
        <v>6</v>
      </c>
      <c r="B85" s="201">
        <f t="shared" si="4"/>
        <v>43983</v>
      </c>
      <c r="C85" s="225">
        <f t="shared" si="23"/>
        <v>44015</v>
      </c>
      <c r="D85" s="225">
        <f t="shared" si="23"/>
        <v>44036</v>
      </c>
      <c r="E85" s="54" t="s">
        <v>9</v>
      </c>
      <c r="F85" s="162">
        <v>9</v>
      </c>
      <c r="G85" s="204">
        <v>32</v>
      </c>
      <c r="H85" s="205">
        <f t="shared" ref="H85:H148" si="25">+$K$3</f>
        <v>1093.1099999999999</v>
      </c>
      <c r="I85" s="205">
        <f t="shared" si="20"/>
        <v>1176.9000000000001</v>
      </c>
      <c r="J85" s="206">
        <f t="shared" si="2"/>
        <v>37660.800000000003</v>
      </c>
      <c r="K85" s="207">
        <f t="shared" si="11"/>
        <v>34979.519999999997</v>
      </c>
      <c r="L85" s="212">
        <f t="shared" si="24"/>
        <v>2681.2800000000061</v>
      </c>
      <c r="M85" s="209">
        <f t="shared" ref="M85:M148" si="26">G85/$G$212*$M$14</f>
        <v>90.30894893923481</v>
      </c>
      <c r="N85" s="210">
        <f t="shared" ref="N85:N148" si="27">SUM(L85:M85)</f>
        <v>2771.5889489392407</v>
      </c>
      <c r="O85" s="209">
        <v>0</v>
      </c>
      <c r="P85" s="209">
        <v>0</v>
      </c>
      <c r="Q85" s="209">
        <v>0</v>
      </c>
      <c r="R85" s="210">
        <f t="shared" ref="R85:R148" si="28">+N85-Q85</f>
        <v>2771.5889489392407</v>
      </c>
    </row>
    <row r="86" spans="1:18" x14ac:dyDescent="0.25">
      <c r="A86" s="125">
        <v>7</v>
      </c>
      <c r="B86" s="201">
        <f t="shared" si="4"/>
        <v>44013</v>
      </c>
      <c r="C86" s="225">
        <f t="shared" si="23"/>
        <v>44048</v>
      </c>
      <c r="D86" s="225">
        <f t="shared" si="23"/>
        <v>44067</v>
      </c>
      <c r="E86" s="54" t="s">
        <v>9</v>
      </c>
      <c r="F86" s="162">
        <v>9</v>
      </c>
      <c r="G86" s="204">
        <v>42</v>
      </c>
      <c r="H86" s="205">
        <f t="shared" si="25"/>
        <v>1093.1099999999999</v>
      </c>
      <c r="I86" s="205">
        <f t="shared" si="20"/>
        <v>1176.9000000000001</v>
      </c>
      <c r="J86" s="206">
        <f t="shared" si="2"/>
        <v>49429.8</v>
      </c>
      <c r="K86" s="213">
        <f t="shared" si="11"/>
        <v>45910.619999999995</v>
      </c>
      <c r="L86" s="212">
        <f t="shared" si="24"/>
        <v>3519.1800000000076</v>
      </c>
      <c r="M86" s="209">
        <f t="shared" si="26"/>
        <v>118.53049548274569</v>
      </c>
      <c r="N86" s="210">
        <f t="shared" si="27"/>
        <v>3637.7104954827532</v>
      </c>
      <c r="O86" s="209">
        <v>0</v>
      </c>
      <c r="P86" s="209">
        <v>0</v>
      </c>
      <c r="Q86" s="209">
        <v>0</v>
      </c>
      <c r="R86" s="210">
        <f t="shared" si="28"/>
        <v>3637.7104954827532</v>
      </c>
    </row>
    <row r="87" spans="1:18" x14ac:dyDescent="0.25">
      <c r="A87" s="162">
        <v>8</v>
      </c>
      <c r="B87" s="201">
        <f t="shared" si="4"/>
        <v>44044</v>
      </c>
      <c r="C87" s="225">
        <f t="shared" si="23"/>
        <v>44077</v>
      </c>
      <c r="D87" s="225">
        <f t="shared" si="23"/>
        <v>44098</v>
      </c>
      <c r="E87" s="54" t="s">
        <v>9</v>
      </c>
      <c r="F87" s="162">
        <v>9</v>
      </c>
      <c r="G87" s="204">
        <v>39</v>
      </c>
      <c r="H87" s="205">
        <f t="shared" si="25"/>
        <v>1093.1099999999999</v>
      </c>
      <c r="I87" s="205">
        <f t="shared" si="20"/>
        <v>1176.9000000000001</v>
      </c>
      <c r="J87" s="206">
        <f t="shared" si="2"/>
        <v>45899.100000000006</v>
      </c>
      <c r="K87" s="213">
        <f t="shared" si="11"/>
        <v>42631.289999999994</v>
      </c>
      <c r="L87" s="212">
        <f t="shared" si="24"/>
        <v>3267.8100000000122</v>
      </c>
      <c r="M87" s="209">
        <f t="shared" si="26"/>
        <v>110.06403151969243</v>
      </c>
      <c r="N87" s="210">
        <f t="shared" si="27"/>
        <v>3377.8740315197047</v>
      </c>
      <c r="O87" s="209">
        <v>0</v>
      </c>
      <c r="P87" s="209">
        <v>0</v>
      </c>
      <c r="Q87" s="209">
        <v>0</v>
      </c>
      <c r="R87" s="210">
        <f t="shared" si="28"/>
        <v>3377.8740315197047</v>
      </c>
    </row>
    <row r="88" spans="1:18" x14ac:dyDescent="0.25">
      <c r="A88" s="162">
        <v>9</v>
      </c>
      <c r="B88" s="201">
        <f t="shared" si="4"/>
        <v>44075</v>
      </c>
      <c r="C88" s="225">
        <f t="shared" si="23"/>
        <v>44109</v>
      </c>
      <c r="D88" s="225">
        <f t="shared" si="23"/>
        <v>44130</v>
      </c>
      <c r="E88" s="54" t="s">
        <v>9</v>
      </c>
      <c r="F88" s="162">
        <v>9</v>
      </c>
      <c r="G88" s="204">
        <v>36</v>
      </c>
      <c r="H88" s="205">
        <f t="shared" si="25"/>
        <v>1093.1099999999999</v>
      </c>
      <c r="I88" s="205">
        <f t="shared" si="20"/>
        <v>1176.9000000000001</v>
      </c>
      <c r="J88" s="206">
        <f t="shared" si="2"/>
        <v>42368.4</v>
      </c>
      <c r="K88" s="213">
        <f t="shared" si="11"/>
        <v>39351.96</v>
      </c>
      <c r="L88" s="212">
        <f t="shared" si="24"/>
        <v>3016.4400000000023</v>
      </c>
      <c r="M88" s="209">
        <f t="shared" si="26"/>
        <v>101.59756755663918</v>
      </c>
      <c r="N88" s="210">
        <f t="shared" si="27"/>
        <v>3118.0375675566415</v>
      </c>
      <c r="O88" s="209">
        <v>0</v>
      </c>
      <c r="P88" s="209">
        <v>0</v>
      </c>
      <c r="Q88" s="209">
        <v>0</v>
      </c>
      <c r="R88" s="210">
        <f t="shared" si="28"/>
        <v>3118.0375675566415</v>
      </c>
    </row>
    <row r="89" spans="1:18" x14ac:dyDescent="0.25">
      <c r="A89" s="125">
        <v>10</v>
      </c>
      <c r="B89" s="201">
        <f t="shared" si="4"/>
        <v>44105</v>
      </c>
      <c r="C89" s="225">
        <f t="shared" si="23"/>
        <v>44139</v>
      </c>
      <c r="D89" s="225">
        <f t="shared" si="23"/>
        <v>44159</v>
      </c>
      <c r="E89" s="54" t="s">
        <v>9</v>
      </c>
      <c r="F89" s="162">
        <v>9</v>
      </c>
      <c r="G89" s="204">
        <v>34</v>
      </c>
      <c r="H89" s="205">
        <f t="shared" si="25"/>
        <v>1093.1099999999999</v>
      </c>
      <c r="I89" s="205">
        <f t="shared" si="20"/>
        <v>1176.9000000000001</v>
      </c>
      <c r="J89" s="206">
        <f t="shared" si="2"/>
        <v>40014.600000000006</v>
      </c>
      <c r="K89" s="213">
        <f t="shared" si="11"/>
        <v>37165.74</v>
      </c>
      <c r="L89" s="212">
        <f t="shared" si="24"/>
        <v>2848.8600000000079</v>
      </c>
      <c r="M89" s="209">
        <f t="shared" si="26"/>
        <v>95.953258247937001</v>
      </c>
      <c r="N89" s="210">
        <f t="shared" si="27"/>
        <v>2944.8132582479448</v>
      </c>
      <c r="O89" s="209">
        <v>0</v>
      </c>
      <c r="P89" s="209">
        <v>0</v>
      </c>
      <c r="Q89" s="209">
        <v>0</v>
      </c>
      <c r="R89" s="210">
        <f t="shared" si="28"/>
        <v>2944.8132582479448</v>
      </c>
    </row>
    <row r="90" spans="1:18" x14ac:dyDescent="0.25">
      <c r="A90" s="162">
        <v>11</v>
      </c>
      <c r="B90" s="201">
        <f t="shared" si="4"/>
        <v>44136</v>
      </c>
      <c r="C90" s="225">
        <f t="shared" si="23"/>
        <v>44168</v>
      </c>
      <c r="D90" s="225">
        <f t="shared" si="23"/>
        <v>44189</v>
      </c>
      <c r="E90" s="54" t="s">
        <v>9</v>
      </c>
      <c r="F90" s="162">
        <v>9</v>
      </c>
      <c r="G90" s="204">
        <v>37</v>
      </c>
      <c r="H90" s="205">
        <f t="shared" si="25"/>
        <v>1093.1099999999999</v>
      </c>
      <c r="I90" s="205">
        <f t="shared" si="20"/>
        <v>1176.9000000000001</v>
      </c>
      <c r="J90" s="206">
        <f t="shared" si="2"/>
        <v>43545.3</v>
      </c>
      <c r="K90" s="213">
        <f t="shared" si="11"/>
        <v>40445.07</v>
      </c>
      <c r="L90" s="212">
        <f t="shared" si="24"/>
        <v>3100.2300000000032</v>
      </c>
      <c r="M90" s="209">
        <f t="shared" si="26"/>
        <v>104.41972221099026</v>
      </c>
      <c r="N90" s="210">
        <f t="shared" si="27"/>
        <v>3204.6497222109933</v>
      </c>
      <c r="O90" s="209">
        <v>0</v>
      </c>
      <c r="P90" s="209">
        <v>0</v>
      </c>
      <c r="Q90" s="209">
        <v>0</v>
      </c>
      <c r="R90" s="210">
        <f t="shared" si="28"/>
        <v>3204.6497222109933</v>
      </c>
    </row>
    <row r="91" spans="1:18" s="229" customFormat="1" x14ac:dyDescent="0.25">
      <c r="A91" s="162">
        <v>12</v>
      </c>
      <c r="B91" s="227">
        <f t="shared" si="4"/>
        <v>44166</v>
      </c>
      <c r="C91" s="225">
        <f t="shared" si="23"/>
        <v>44202</v>
      </c>
      <c r="D91" s="225">
        <f t="shared" si="23"/>
        <v>44221</v>
      </c>
      <c r="E91" s="228" t="s">
        <v>9</v>
      </c>
      <c r="F91" s="173">
        <v>9</v>
      </c>
      <c r="G91" s="216">
        <v>41</v>
      </c>
      <c r="H91" s="217">
        <f t="shared" si="25"/>
        <v>1093.1099999999999</v>
      </c>
      <c r="I91" s="217">
        <f t="shared" si="20"/>
        <v>1176.9000000000001</v>
      </c>
      <c r="J91" s="218">
        <f t="shared" si="2"/>
        <v>48252.9</v>
      </c>
      <c r="K91" s="219">
        <f t="shared" si="11"/>
        <v>44817.509999999995</v>
      </c>
      <c r="L91" s="220">
        <f t="shared" si="24"/>
        <v>3435.3900000000067</v>
      </c>
      <c r="M91" s="209">
        <f t="shared" si="26"/>
        <v>115.70834082839461</v>
      </c>
      <c r="N91" s="210">
        <f t="shared" si="27"/>
        <v>3551.0983408284014</v>
      </c>
      <c r="O91" s="209">
        <v>0</v>
      </c>
      <c r="P91" s="209">
        <v>0</v>
      </c>
      <c r="Q91" s="209">
        <v>0</v>
      </c>
      <c r="R91" s="210">
        <f t="shared" si="28"/>
        <v>3551.0983408284014</v>
      </c>
    </row>
    <row r="92" spans="1:18" x14ac:dyDescent="0.25">
      <c r="A92" s="125">
        <v>1</v>
      </c>
      <c r="B92" s="201">
        <f t="shared" si="4"/>
        <v>43831</v>
      </c>
      <c r="C92" s="222">
        <f t="shared" ref="C92:D95" si="29">+C80</f>
        <v>43866</v>
      </c>
      <c r="D92" s="222">
        <f t="shared" si="29"/>
        <v>43885</v>
      </c>
      <c r="E92" s="203" t="s">
        <v>8</v>
      </c>
      <c r="F92" s="125">
        <v>9</v>
      </c>
      <c r="G92" s="204">
        <v>76</v>
      </c>
      <c r="H92" s="205">
        <f t="shared" si="25"/>
        <v>1093.1099999999999</v>
      </c>
      <c r="I92" s="205">
        <f t="shared" si="20"/>
        <v>1176.9000000000001</v>
      </c>
      <c r="J92" s="206">
        <f t="shared" si="2"/>
        <v>89444.400000000009</v>
      </c>
      <c r="K92" s="207">
        <f t="shared" si="11"/>
        <v>83076.359999999986</v>
      </c>
      <c r="L92" s="208">
        <f t="shared" si="24"/>
        <v>6368.0400000000227</v>
      </c>
      <c r="M92" s="209">
        <f t="shared" si="26"/>
        <v>214.48375373068271</v>
      </c>
      <c r="N92" s="210">
        <f t="shared" si="27"/>
        <v>6582.5237537307057</v>
      </c>
      <c r="O92" s="209">
        <v>0</v>
      </c>
      <c r="P92" s="209">
        <v>0</v>
      </c>
      <c r="Q92" s="209">
        <v>0</v>
      </c>
      <c r="R92" s="210">
        <f t="shared" si="28"/>
        <v>6582.5237537307057</v>
      </c>
    </row>
    <row r="93" spans="1:18" x14ac:dyDescent="0.25">
      <c r="A93" s="162">
        <v>2</v>
      </c>
      <c r="B93" s="201">
        <f t="shared" si="4"/>
        <v>43862</v>
      </c>
      <c r="C93" s="225">
        <f t="shared" si="29"/>
        <v>43894</v>
      </c>
      <c r="D93" s="225">
        <f t="shared" si="29"/>
        <v>43914</v>
      </c>
      <c r="E93" s="211" t="s">
        <v>8</v>
      </c>
      <c r="F93" s="162">
        <v>9</v>
      </c>
      <c r="G93" s="204">
        <v>77</v>
      </c>
      <c r="H93" s="205">
        <f t="shared" si="25"/>
        <v>1093.1099999999999</v>
      </c>
      <c r="I93" s="205">
        <f t="shared" si="20"/>
        <v>1176.9000000000001</v>
      </c>
      <c r="J93" s="206">
        <f t="shared" si="2"/>
        <v>90621.3</v>
      </c>
      <c r="K93" s="207">
        <f t="shared" si="11"/>
        <v>84169.469999999987</v>
      </c>
      <c r="L93" s="208">
        <f t="shared" si="24"/>
        <v>6451.8300000000163</v>
      </c>
      <c r="M93" s="209">
        <f t="shared" si="26"/>
        <v>217.30590838503377</v>
      </c>
      <c r="N93" s="210">
        <f t="shared" si="27"/>
        <v>6669.1359083850502</v>
      </c>
      <c r="O93" s="209">
        <v>0</v>
      </c>
      <c r="P93" s="209">
        <v>0</v>
      </c>
      <c r="Q93" s="209">
        <v>0</v>
      </c>
      <c r="R93" s="210">
        <f t="shared" si="28"/>
        <v>6669.1359083850502</v>
      </c>
    </row>
    <row r="94" spans="1:18" x14ac:dyDescent="0.25">
      <c r="A94" s="162">
        <v>3</v>
      </c>
      <c r="B94" s="201">
        <f t="shared" si="4"/>
        <v>43891</v>
      </c>
      <c r="C94" s="225">
        <f t="shared" si="29"/>
        <v>43924</v>
      </c>
      <c r="D94" s="225">
        <f t="shared" si="29"/>
        <v>43945</v>
      </c>
      <c r="E94" s="211" t="s">
        <v>8</v>
      </c>
      <c r="F94" s="162">
        <v>9</v>
      </c>
      <c r="G94" s="204">
        <v>85</v>
      </c>
      <c r="H94" s="205">
        <f t="shared" si="25"/>
        <v>1093.1099999999999</v>
      </c>
      <c r="I94" s="205">
        <f t="shared" si="20"/>
        <v>1176.9000000000001</v>
      </c>
      <c r="J94" s="206">
        <f t="shared" si="2"/>
        <v>100036.50000000001</v>
      </c>
      <c r="K94" s="207">
        <f t="shared" ref="K94:K133" si="30">+$G94*H94</f>
        <v>92914.349999999991</v>
      </c>
      <c r="L94" s="208">
        <f>+J94-K94</f>
        <v>7122.1500000000233</v>
      </c>
      <c r="M94" s="209">
        <f t="shared" si="26"/>
        <v>239.88314561984248</v>
      </c>
      <c r="N94" s="210">
        <f t="shared" si="27"/>
        <v>7362.0331456198655</v>
      </c>
      <c r="O94" s="209">
        <v>0</v>
      </c>
      <c r="P94" s="209">
        <v>0</v>
      </c>
      <c r="Q94" s="209">
        <v>0</v>
      </c>
      <c r="R94" s="210">
        <f t="shared" si="28"/>
        <v>7362.0331456198655</v>
      </c>
    </row>
    <row r="95" spans="1:18" x14ac:dyDescent="0.25">
      <c r="A95" s="125">
        <v>4</v>
      </c>
      <c r="B95" s="201">
        <f t="shared" si="4"/>
        <v>43922</v>
      </c>
      <c r="C95" s="225">
        <f t="shared" si="29"/>
        <v>43956</v>
      </c>
      <c r="D95" s="225">
        <f t="shared" si="29"/>
        <v>43976</v>
      </c>
      <c r="E95" s="211" t="s">
        <v>8</v>
      </c>
      <c r="F95" s="162">
        <v>9</v>
      </c>
      <c r="G95" s="204">
        <v>82</v>
      </c>
      <c r="H95" s="205">
        <f t="shared" si="25"/>
        <v>1093.1099999999999</v>
      </c>
      <c r="I95" s="205">
        <f t="shared" si="20"/>
        <v>1176.9000000000001</v>
      </c>
      <c r="J95" s="206">
        <f t="shared" si="2"/>
        <v>96505.8</v>
      </c>
      <c r="K95" s="207">
        <f t="shared" si="30"/>
        <v>89635.01999999999</v>
      </c>
      <c r="L95" s="208">
        <f t="shared" ref="L95:L105" si="31">+J95-K95</f>
        <v>6870.7800000000134</v>
      </c>
      <c r="M95" s="209">
        <f t="shared" si="26"/>
        <v>231.41668165678922</v>
      </c>
      <c r="N95" s="210">
        <f t="shared" si="27"/>
        <v>7102.1966816568029</v>
      </c>
      <c r="O95" s="209">
        <v>0</v>
      </c>
      <c r="P95" s="209">
        <v>0</v>
      </c>
      <c r="Q95" s="209">
        <v>0</v>
      </c>
      <c r="R95" s="210">
        <f t="shared" si="28"/>
        <v>7102.1966816568029</v>
      </c>
    </row>
    <row r="96" spans="1:18" x14ac:dyDescent="0.25">
      <c r="A96" s="162">
        <v>5</v>
      </c>
      <c r="B96" s="201">
        <f t="shared" si="4"/>
        <v>43952</v>
      </c>
      <c r="C96" s="225">
        <f t="shared" ref="C96:D116" si="32">+C84</f>
        <v>43985</v>
      </c>
      <c r="D96" s="225">
        <f t="shared" si="32"/>
        <v>44006</v>
      </c>
      <c r="E96" s="54" t="s">
        <v>8</v>
      </c>
      <c r="F96" s="162">
        <v>9</v>
      </c>
      <c r="G96" s="204">
        <v>117</v>
      </c>
      <c r="H96" s="205">
        <f t="shared" si="25"/>
        <v>1093.1099999999999</v>
      </c>
      <c r="I96" s="205">
        <f t="shared" si="20"/>
        <v>1176.9000000000001</v>
      </c>
      <c r="J96" s="206">
        <f t="shared" si="2"/>
        <v>137697.30000000002</v>
      </c>
      <c r="K96" s="207">
        <f t="shared" si="30"/>
        <v>127893.87</v>
      </c>
      <c r="L96" s="208">
        <f t="shared" si="31"/>
        <v>9803.4300000000221</v>
      </c>
      <c r="M96" s="209">
        <f t="shared" si="26"/>
        <v>330.1920945590773</v>
      </c>
      <c r="N96" s="210">
        <f t="shared" si="27"/>
        <v>10133.622094559099</v>
      </c>
      <c r="O96" s="209">
        <v>0</v>
      </c>
      <c r="P96" s="209">
        <v>0</v>
      </c>
      <c r="Q96" s="209">
        <v>0</v>
      </c>
      <c r="R96" s="210">
        <f t="shared" si="28"/>
        <v>10133.622094559099</v>
      </c>
    </row>
    <row r="97" spans="1:18" x14ac:dyDescent="0.25">
      <c r="A97" s="162">
        <v>6</v>
      </c>
      <c r="B97" s="201">
        <f t="shared" si="4"/>
        <v>43983</v>
      </c>
      <c r="C97" s="225">
        <f t="shared" si="32"/>
        <v>44015</v>
      </c>
      <c r="D97" s="225">
        <f t="shared" si="32"/>
        <v>44036</v>
      </c>
      <c r="E97" s="54" t="s">
        <v>8</v>
      </c>
      <c r="F97" s="162">
        <v>9</v>
      </c>
      <c r="G97" s="204">
        <v>131</v>
      </c>
      <c r="H97" s="205">
        <f t="shared" si="25"/>
        <v>1093.1099999999999</v>
      </c>
      <c r="I97" s="205">
        <f t="shared" si="20"/>
        <v>1176.9000000000001</v>
      </c>
      <c r="J97" s="206">
        <f t="shared" si="2"/>
        <v>154173.90000000002</v>
      </c>
      <c r="K97" s="207">
        <f t="shared" si="30"/>
        <v>143197.40999999997</v>
      </c>
      <c r="L97" s="212">
        <f t="shared" si="31"/>
        <v>10976.490000000049</v>
      </c>
      <c r="M97" s="209">
        <f t="shared" si="26"/>
        <v>369.70225971999253</v>
      </c>
      <c r="N97" s="210">
        <f t="shared" si="27"/>
        <v>11346.192259720041</v>
      </c>
      <c r="O97" s="209">
        <v>0</v>
      </c>
      <c r="P97" s="209">
        <v>0</v>
      </c>
      <c r="Q97" s="209">
        <v>0</v>
      </c>
      <c r="R97" s="210">
        <f t="shared" si="28"/>
        <v>11346.192259720041</v>
      </c>
    </row>
    <row r="98" spans="1:18" x14ac:dyDescent="0.25">
      <c r="A98" s="125">
        <v>7</v>
      </c>
      <c r="B98" s="201">
        <f t="shared" si="4"/>
        <v>44013</v>
      </c>
      <c r="C98" s="225">
        <f t="shared" si="32"/>
        <v>44048</v>
      </c>
      <c r="D98" s="225">
        <f t="shared" si="32"/>
        <v>44067</v>
      </c>
      <c r="E98" s="54" t="s">
        <v>8</v>
      </c>
      <c r="F98" s="162">
        <v>9</v>
      </c>
      <c r="G98" s="204">
        <v>147</v>
      </c>
      <c r="H98" s="205">
        <f t="shared" si="25"/>
        <v>1093.1099999999999</v>
      </c>
      <c r="I98" s="205">
        <f t="shared" si="20"/>
        <v>1176.9000000000001</v>
      </c>
      <c r="J98" s="206">
        <f t="shared" si="2"/>
        <v>173004.30000000002</v>
      </c>
      <c r="K98" s="213">
        <f t="shared" si="30"/>
        <v>160687.16999999998</v>
      </c>
      <c r="L98" s="212">
        <f t="shared" si="31"/>
        <v>12317.130000000034</v>
      </c>
      <c r="M98" s="209">
        <f t="shared" si="26"/>
        <v>414.85673418960994</v>
      </c>
      <c r="N98" s="210">
        <f t="shared" si="27"/>
        <v>12731.986734189644</v>
      </c>
      <c r="O98" s="209">
        <v>0</v>
      </c>
      <c r="P98" s="209">
        <v>0</v>
      </c>
      <c r="Q98" s="209">
        <v>0</v>
      </c>
      <c r="R98" s="210">
        <f t="shared" si="28"/>
        <v>12731.986734189644</v>
      </c>
    </row>
    <row r="99" spans="1:18" x14ac:dyDescent="0.25">
      <c r="A99" s="162">
        <v>8</v>
      </c>
      <c r="B99" s="201">
        <f t="shared" si="4"/>
        <v>44044</v>
      </c>
      <c r="C99" s="225">
        <f t="shared" si="32"/>
        <v>44077</v>
      </c>
      <c r="D99" s="225">
        <f t="shared" si="32"/>
        <v>44098</v>
      </c>
      <c r="E99" s="54" t="s">
        <v>8</v>
      </c>
      <c r="F99" s="162">
        <v>9</v>
      </c>
      <c r="G99" s="204">
        <v>141</v>
      </c>
      <c r="H99" s="205">
        <f t="shared" si="25"/>
        <v>1093.1099999999999</v>
      </c>
      <c r="I99" s="205">
        <f t="shared" si="20"/>
        <v>1176.9000000000001</v>
      </c>
      <c r="J99" s="206">
        <f t="shared" si="2"/>
        <v>165942.90000000002</v>
      </c>
      <c r="K99" s="213">
        <f t="shared" si="30"/>
        <v>154128.50999999998</v>
      </c>
      <c r="L99" s="212">
        <f t="shared" si="31"/>
        <v>11814.390000000043</v>
      </c>
      <c r="M99" s="209">
        <f t="shared" si="26"/>
        <v>397.92380626350342</v>
      </c>
      <c r="N99" s="210">
        <f t="shared" si="27"/>
        <v>12212.313806263546</v>
      </c>
      <c r="O99" s="209">
        <v>0</v>
      </c>
      <c r="P99" s="209">
        <v>0</v>
      </c>
      <c r="Q99" s="209">
        <v>0</v>
      </c>
      <c r="R99" s="210">
        <f t="shared" si="28"/>
        <v>12212.313806263546</v>
      </c>
    </row>
    <row r="100" spans="1:18" x14ac:dyDescent="0.25">
      <c r="A100" s="162">
        <v>9</v>
      </c>
      <c r="B100" s="201">
        <f t="shared" si="4"/>
        <v>44075</v>
      </c>
      <c r="C100" s="225">
        <f t="shared" si="32"/>
        <v>44109</v>
      </c>
      <c r="D100" s="225">
        <f t="shared" si="32"/>
        <v>44130</v>
      </c>
      <c r="E100" s="54" t="s">
        <v>8</v>
      </c>
      <c r="F100" s="162">
        <v>9</v>
      </c>
      <c r="G100" s="204">
        <v>111</v>
      </c>
      <c r="H100" s="205">
        <f t="shared" si="25"/>
        <v>1093.1099999999999</v>
      </c>
      <c r="I100" s="205">
        <f t="shared" si="20"/>
        <v>1176.9000000000001</v>
      </c>
      <c r="J100" s="206">
        <f t="shared" si="2"/>
        <v>130635.90000000001</v>
      </c>
      <c r="K100" s="213">
        <f t="shared" si="30"/>
        <v>121335.20999999999</v>
      </c>
      <c r="L100" s="212">
        <f t="shared" si="31"/>
        <v>9300.6900000000169</v>
      </c>
      <c r="M100" s="209">
        <f t="shared" si="26"/>
        <v>313.25916663297073</v>
      </c>
      <c r="N100" s="210">
        <f t="shared" si="27"/>
        <v>9613.9491666329868</v>
      </c>
      <c r="O100" s="209">
        <v>0</v>
      </c>
      <c r="P100" s="209">
        <v>0</v>
      </c>
      <c r="Q100" s="209">
        <v>0</v>
      </c>
      <c r="R100" s="210">
        <f t="shared" si="28"/>
        <v>9613.9491666329868</v>
      </c>
    </row>
    <row r="101" spans="1:18" x14ac:dyDescent="0.25">
      <c r="A101" s="125">
        <v>10</v>
      </c>
      <c r="B101" s="201">
        <f t="shared" si="4"/>
        <v>44105</v>
      </c>
      <c r="C101" s="225">
        <f t="shared" si="32"/>
        <v>44139</v>
      </c>
      <c r="D101" s="225">
        <f t="shared" si="32"/>
        <v>44159</v>
      </c>
      <c r="E101" s="54" t="s">
        <v>8</v>
      </c>
      <c r="F101" s="162">
        <v>9</v>
      </c>
      <c r="G101" s="204">
        <v>98</v>
      </c>
      <c r="H101" s="205">
        <f t="shared" si="25"/>
        <v>1093.1099999999999</v>
      </c>
      <c r="I101" s="205">
        <f t="shared" si="20"/>
        <v>1176.9000000000001</v>
      </c>
      <c r="J101" s="206">
        <f t="shared" si="2"/>
        <v>115336.20000000001</v>
      </c>
      <c r="K101" s="213">
        <f t="shared" si="30"/>
        <v>107124.77999999998</v>
      </c>
      <c r="L101" s="212">
        <f t="shared" si="31"/>
        <v>8211.4200000000274</v>
      </c>
      <c r="M101" s="209">
        <f t="shared" si="26"/>
        <v>276.57115612640661</v>
      </c>
      <c r="N101" s="210">
        <f t="shared" si="27"/>
        <v>8487.9911561264344</v>
      </c>
      <c r="O101" s="209">
        <v>0</v>
      </c>
      <c r="P101" s="209">
        <v>0</v>
      </c>
      <c r="Q101" s="209">
        <v>0</v>
      </c>
      <c r="R101" s="210">
        <f t="shared" si="28"/>
        <v>8487.9911561264344</v>
      </c>
    </row>
    <row r="102" spans="1:18" x14ac:dyDescent="0.25">
      <c r="A102" s="162">
        <v>11</v>
      </c>
      <c r="B102" s="201">
        <f t="shared" si="4"/>
        <v>44136</v>
      </c>
      <c r="C102" s="225">
        <f t="shared" si="32"/>
        <v>44168</v>
      </c>
      <c r="D102" s="225">
        <f t="shared" si="32"/>
        <v>44189</v>
      </c>
      <c r="E102" s="54" t="s">
        <v>8</v>
      </c>
      <c r="F102" s="162">
        <v>9</v>
      </c>
      <c r="G102" s="204">
        <v>74</v>
      </c>
      <c r="H102" s="205">
        <f t="shared" si="25"/>
        <v>1093.1099999999999</v>
      </c>
      <c r="I102" s="205">
        <f t="shared" si="20"/>
        <v>1176.9000000000001</v>
      </c>
      <c r="J102" s="206">
        <f t="shared" si="2"/>
        <v>87090.6</v>
      </c>
      <c r="K102" s="213">
        <f t="shared" si="30"/>
        <v>80890.14</v>
      </c>
      <c r="L102" s="212">
        <f t="shared" si="31"/>
        <v>6200.4600000000064</v>
      </c>
      <c r="M102" s="209">
        <f t="shared" si="26"/>
        <v>208.83944442198052</v>
      </c>
      <c r="N102" s="210">
        <f t="shared" si="27"/>
        <v>6409.2994444219867</v>
      </c>
      <c r="O102" s="209">
        <v>0</v>
      </c>
      <c r="P102" s="209">
        <v>0</v>
      </c>
      <c r="Q102" s="209">
        <v>0</v>
      </c>
      <c r="R102" s="210">
        <f t="shared" si="28"/>
        <v>6409.2994444219867</v>
      </c>
    </row>
    <row r="103" spans="1:18" s="229" customFormat="1" x14ac:dyDescent="0.25">
      <c r="A103" s="162">
        <v>12</v>
      </c>
      <c r="B103" s="227">
        <f t="shared" si="4"/>
        <v>44166</v>
      </c>
      <c r="C103" s="225">
        <f t="shared" si="32"/>
        <v>44202</v>
      </c>
      <c r="D103" s="225">
        <f t="shared" si="32"/>
        <v>44221</v>
      </c>
      <c r="E103" s="228" t="s">
        <v>8</v>
      </c>
      <c r="F103" s="173">
        <v>9</v>
      </c>
      <c r="G103" s="216">
        <v>78</v>
      </c>
      <c r="H103" s="217">
        <f t="shared" si="25"/>
        <v>1093.1099999999999</v>
      </c>
      <c r="I103" s="217">
        <f t="shared" si="20"/>
        <v>1176.9000000000001</v>
      </c>
      <c r="J103" s="218">
        <f t="shared" si="2"/>
        <v>91798.200000000012</v>
      </c>
      <c r="K103" s="219">
        <f t="shared" si="30"/>
        <v>85262.579999999987</v>
      </c>
      <c r="L103" s="220">
        <f t="shared" si="31"/>
        <v>6535.6200000000244</v>
      </c>
      <c r="M103" s="209">
        <f t="shared" si="26"/>
        <v>220.12806303938487</v>
      </c>
      <c r="N103" s="210">
        <f t="shared" si="27"/>
        <v>6755.7480630394093</v>
      </c>
      <c r="O103" s="209">
        <v>0</v>
      </c>
      <c r="P103" s="209">
        <v>0</v>
      </c>
      <c r="Q103" s="209">
        <v>0</v>
      </c>
      <c r="R103" s="210">
        <f t="shared" si="28"/>
        <v>6755.7480630394093</v>
      </c>
    </row>
    <row r="104" spans="1:18" x14ac:dyDescent="0.25">
      <c r="A104" s="125">
        <v>1</v>
      </c>
      <c r="B104" s="201">
        <f t="shared" si="4"/>
        <v>43831</v>
      </c>
      <c r="C104" s="222">
        <f t="shared" si="32"/>
        <v>43866</v>
      </c>
      <c r="D104" s="222">
        <f t="shared" si="32"/>
        <v>43885</v>
      </c>
      <c r="E104" s="203" t="s">
        <v>19</v>
      </c>
      <c r="F104" s="125">
        <v>9</v>
      </c>
      <c r="G104" s="204">
        <v>39</v>
      </c>
      <c r="H104" s="205">
        <f t="shared" si="25"/>
        <v>1093.1099999999999</v>
      </c>
      <c r="I104" s="205">
        <f t="shared" si="20"/>
        <v>1176.9000000000001</v>
      </c>
      <c r="J104" s="206">
        <f t="shared" si="2"/>
        <v>45899.100000000006</v>
      </c>
      <c r="K104" s="207">
        <f t="shared" si="30"/>
        <v>42631.289999999994</v>
      </c>
      <c r="L104" s="208">
        <f t="shared" si="31"/>
        <v>3267.8100000000122</v>
      </c>
      <c r="M104" s="209">
        <f t="shared" si="26"/>
        <v>110.06403151969243</v>
      </c>
      <c r="N104" s="210">
        <f t="shared" si="27"/>
        <v>3377.8740315197047</v>
      </c>
      <c r="O104" s="209">
        <v>0</v>
      </c>
      <c r="P104" s="209">
        <v>0</v>
      </c>
      <c r="Q104" s="209">
        <v>0</v>
      </c>
      <c r="R104" s="210">
        <f t="shared" si="28"/>
        <v>3377.8740315197047</v>
      </c>
    </row>
    <row r="105" spans="1:18" x14ac:dyDescent="0.25">
      <c r="A105" s="162">
        <v>2</v>
      </c>
      <c r="B105" s="201">
        <f t="shared" si="4"/>
        <v>43862</v>
      </c>
      <c r="C105" s="225">
        <f t="shared" si="32"/>
        <v>43894</v>
      </c>
      <c r="D105" s="225">
        <f t="shared" si="32"/>
        <v>43914</v>
      </c>
      <c r="E105" s="211" t="s">
        <v>19</v>
      </c>
      <c r="F105" s="162">
        <v>9</v>
      </c>
      <c r="G105" s="204">
        <v>41</v>
      </c>
      <c r="H105" s="205">
        <f t="shared" si="25"/>
        <v>1093.1099999999999</v>
      </c>
      <c r="I105" s="205">
        <f t="shared" si="20"/>
        <v>1176.9000000000001</v>
      </c>
      <c r="J105" s="206">
        <f t="shared" si="2"/>
        <v>48252.9</v>
      </c>
      <c r="K105" s="207">
        <f t="shared" si="30"/>
        <v>44817.509999999995</v>
      </c>
      <c r="L105" s="208">
        <f t="shared" si="31"/>
        <v>3435.3900000000067</v>
      </c>
      <c r="M105" s="209">
        <f t="shared" si="26"/>
        <v>115.70834082839461</v>
      </c>
      <c r="N105" s="210">
        <f t="shared" si="27"/>
        <v>3551.0983408284014</v>
      </c>
      <c r="O105" s="209">
        <v>0</v>
      </c>
      <c r="P105" s="209">
        <v>0</v>
      </c>
      <c r="Q105" s="209">
        <v>0</v>
      </c>
      <c r="R105" s="210">
        <f t="shared" si="28"/>
        <v>3551.0983408284014</v>
      </c>
    </row>
    <row r="106" spans="1:18" x14ac:dyDescent="0.25">
      <c r="A106" s="162">
        <v>3</v>
      </c>
      <c r="B106" s="201">
        <f t="shared" si="4"/>
        <v>43891</v>
      </c>
      <c r="C106" s="225">
        <f t="shared" si="32"/>
        <v>43924</v>
      </c>
      <c r="D106" s="225">
        <f t="shared" si="32"/>
        <v>43945</v>
      </c>
      <c r="E106" s="211" t="s">
        <v>19</v>
      </c>
      <c r="F106" s="162">
        <v>9</v>
      </c>
      <c r="G106" s="204">
        <v>36</v>
      </c>
      <c r="H106" s="205">
        <f t="shared" si="25"/>
        <v>1093.1099999999999</v>
      </c>
      <c r="I106" s="205">
        <f t="shared" si="20"/>
        <v>1176.9000000000001</v>
      </c>
      <c r="J106" s="206">
        <f t="shared" si="2"/>
        <v>42368.4</v>
      </c>
      <c r="K106" s="207">
        <f t="shared" si="30"/>
        <v>39351.96</v>
      </c>
      <c r="L106" s="208">
        <f>+J106-K106</f>
        <v>3016.4400000000023</v>
      </c>
      <c r="M106" s="209">
        <f t="shared" si="26"/>
        <v>101.59756755663918</v>
      </c>
      <c r="N106" s="210">
        <f t="shared" si="27"/>
        <v>3118.0375675566415</v>
      </c>
      <c r="O106" s="209">
        <v>0</v>
      </c>
      <c r="P106" s="209">
        <v>0</v>
      </c>
      <c r="Q106" s="209">
        <v>0</v>
      </c>
      <c r="R106" s="210">
        <f t="shared" si="28"/>
        <v>3118.0375675566415</v>
      </c>
    </row>
    <row r="107" spans="1:18" x14ac:dyDescent="0.25">
      <c r="A107" s="125">
        <v>4</v>
      </c>
      <c r="B107" s="201">
        <f t="shared" si="4"/>
        <v>43922</v>
      </c>
      <c r="C107" s="225">
        <f t="shared" si="32"/>
        <v>43956</v>
      </c>
      <c r="D107" s="225">
        <f t="shared" si="32"/>
        <v>43976</v>
      </c>
      <c r="E107" s="54" t="s">
        <v>19</v>
      </c>
      <c r="F107" s="162">
        <v>9</v>
      </c>
      <c r="G107" s="204">
        <v>31</v>
      </c>
      <c r="H107" s="205">
        <f t="shared" si="25"/>
        <v>1093.1099999999999</v>
      </c>
      <c r="I107" s="205">
        <f t="shared" si="20"/>
        <v>1176.9000000000001</v>
      </c>
      <c r="J107" s="206">
        <f t="shared" si="2"/>
        <v>36483.9</v>
      </c>
      <c r="K107" s="207">
        <f t="shared" si="30"/>
        <v>33886.409999999996</v>
      </c>
      <c r="L107" s="208">
        <f t="shared" ref="L107:L115" si="33">+J107-K107</f>
        <v>2597.4900000000052</v>
      </c>
      <c r="M107" s="209">
        <f t="shared" si="26"/>
        <v>87.486794284883729</v>
      </c>
      <c r="N107" s="210">
        <f t="shared" si="27"/>
        <v>2684.9767942848889</v>
      </c>
      <c r="O107" s="209">
        <v>0</v>
      </c>
      <c r="P107" s="209">
        <v>0</v>
      </c>
      <c r="Q107" s="209">
        <v>0</v>
      </c>
      <c r="R107" s="210">
        <f t="shared" si="28"/>
        <v>2684.9767942848889</v>
      </c>
    </row>
    <row r="108" spans="1:18" x14ac:dyDescent="0.25">
      <c r="A108" s="162">
        <v>5</v>
      </c>
      <c r="B108" s="201">
        <f t="shared" si="4"/>
        <v>43952</v>
      </c>
      <c r="C108" s="225">
        <f t="shared" si="32"/>
        <v>43985</v>
      </c>
      <c r="D108" s="225">
        <f t="shared" si="32"/>
        <v>44006</v>
      </c>
      <c r="E108" s="54" t="s">
        <v>19</v>
      </c>
      <c r="F108" s="162">
        <v>9</v>
      </c>
      <c r="G108" s="204">
        <v>32</v>
      </c>
      <c r="H108" s="205">
        <f t="shared" si="25"/>
        <v>1093.1099999999999</v>
      </c>
      <c r="I108" s="205">
        <f t="shared" ref="I108:I127" si="34">$J$3</f>
        <v>1176.9000000000001</v>
      </c>
      <c r="J108" s="206">
        <f t="shared" si="2"/>
        <v>37660.800000000003</v>
      </c>
      <c r="K108" s="207">
        <f t="shared" si="30"/>
        <v>34979.519999999997</v>
      </c>
      <c r="L108" s="208">
        <f t="shared" si="33"/>
        <v>2681.2800000000061</v>
      </c>
      <c r="M108" s="209">
        <f t="shared" si="26"/>
        <v>90.30894893923481</v>
      </c>
      <c r="N108" s="210">
        <f t="shared" si="27"/>
        <v>2771.5889489392407</v>
      </c>
      <c r="O108" s="209">
        <v>0</v>
      </c>
      <c r="P108" s="209">
        <v>0</v>
      </c>
      <c r="Q108" s="209">
        <v>0</v>
      </c>
      <c r="R108" s="210">
        <f t="shared" si="28"/>
        <v>2771.5889489392407</v>
      </c>
    </row>
    <row r="109" spans="1:18" x14ac:dyDescent="0.25">
      <c r="A109" s="162">
        <v>6</v>
      </c>
      <c r="B109" s="201">
        <f t="shared" ref="B109:B148" si="35">DATE($R$1,A109,1)</f>
        <v>43983</v>
      </c>
      <c r="C109" s="225">
        <f t="shared" si="32"/>
        <v>44015</v>
      </c>
      <c r="D109" s="225">
        <f t="shared" si="32"/>
        <v>44036</v>
      </c>
      <c r="E109" s="54" t="s">
        <v>19</v>
      </c>
      <c r="F109" s="162">
        <v>9</v>
      </c>
      <c r="G109" s="204">
        <v>39</v>
      </c>
      <c r="H109" s="205">
        <f t="shared" si="25"/>
        <v>1093.1099999999999</v>
      </c>
      <c r="I109" s="205">
        <f t="shared" si="34"/>
        <v>1176.9000000000001</v>
      </c>
      <c r="J109" s="206">
        <f t="shared" ref="J109:J148" si="36">+$G109*I109</f>
        <v>45899.100000000006</v>
      </c>
      <c r="K109" s="207">
        <f t="shared" si="30"/>
        <v>42631.289999999994</v>
      </c>
      <c r="L109" s="212">
        <f t="shared" si="33"/>
        <v>3267.8100000000122</v>
      </c>
      <c r="M109" s="209">
        <f t="shared" si="26"/>
        <v>110.06403151969243</v>
      </c>
      <c r="N109" s="210">
        <f t="shared" si="27"/>
        <v>3377.8740315197047</v>
      </c>
      <c r="O109" s="209">
        <v>0</v>
      </c>
      <c r="P109" s="209">
        <v>0</v>
      </c>
      <c r="Q109" s="209">
        <v>0</v>
      </c>
      <c r="R109" s="210">
        <f t="shared" si="28"/>
        <v>3377.8740315197047</v>
      </c>
    </row>
    <row r="110" spans="1:18" x14ac:dyDescent="0.25">
      <c r="A110" s="125">
        <v>7</v>
      </c>
      <c r="B110" s="201">
        <f t="shared" si="35"/>
        <v>44013</v>
      </c>
      <c r="C110" s="225">
        <f t="shared" si="32"/>
        <v>44048</v>
      </c>
      <c r="D110" s="225">
        <f t="shared" si="32"/>
        <v>44067</v>
      </c>
      <c r="E110" s="54" t="s">
        <v>19</v>
      </c>
      <c r="F110" s="162">
        <v>9</v>
      </c>
      <c r="G110" s="204">
        <v>44</v>
      </c>
      <c r="H110" s="205">
        <f t="shared" si="25"/>
        <v>1093.1099999999999</v>
      </c>
      <c r="I110" s="205">
        <f t="shared" si="34"/>
        <v>1176.9000000000001</v>
      </c>
      <c r="J110" s="206">
        <f t="shared" si="36"/>
        <v>51783.600000000006</v>
      </c>
      <c r="K110" s="213">
        <f t="shared" si="30"/>
        <v>48096.84</v>
      </c>
      <c r="L110" s="212">
        <f t="shared" si="33"/>
        <v>3686.7600000000093</v>
      </c>
      <c r="M110" s="209">
        <f t="shared" si="26"/>
        <v>124.17480479144788</v>
      </c>
      <c r="N110" s="210">
        <f t="shared" si="27"/>
        <v>3810.9348047914573</v>
      </c>
      <c r="O110" s="209">
        <v>0</v>
      </c>
      <c r="P110" s="209">
        <v>0</v>
      </c>
      <c r="Q110" s="209">
        <v>0</v>
      </c>
      <c r="R110" s="210">
        <f t="shared" si="28"/>
        <v>3810.9348047914573</v>
      </c>
    </row>
    <row r="111" spans="1:18" x14ac:dyDescent="0.25">
      <c r="A111" s="162">
        <v>8</v>
      </c>
      <c r="B111" s="201">
        <f t="shared" si="35"/>
        <v>44044</v>
      </c>
      <c r="C111" s="225">
        <f t="shared" si="32"/>
        <v>44077</v>
      </c>
      <c r="D111" s="225">
        <f t="shared" si="32"/>
        <v>44098</v>
      </c>
      <c r="E111" s="54" t="s">
        <v>19</v>
      </c>
      <c r="F111" s="162">
        <v>9</v>
      </c>
      <c r="G111" s="204">
        <v>38</v>
      </c>
      <c r="H111" s="205">
        <f t="shared" si="25"/>
        <v>1093.1099999999999</v>
      </c>
      <c r="I111" s="205">
        <f t="shared" si="34"/>
        <v>1176.9000000000001</v>
      </c>
      <c r="J111" s="206">
        <f t="shared" si="36"/>
        <v>44722.200000000004</v>
      </c>
      <c r="K111" s="213">
        <f t="shared" si="30"/>
        <v>41538.179999999993</v>
      </c>
      <c r="L111" s="212">
        <f t="shared" si="33"/>
        <v>3184.0200000000114</v>
      </c>
      <c r="M111" s="209">
        <f t="shared" si="26"/>
        <v>107.24187686534135</v>
      </c>
      <c r="N111" s="210">
        <f t="shared" si="27"/>
        <v>3291.2618768653529</v>
      </c>
      <c r="O111" s="209">
        <v>0</v>
      </c>
      <c r="P111" s="209">
        <v>0</v>
      </c>
      <c r="Q111" s="209">
        <v>0</v>
      </c>
      <c r="R111" s="210">
        <f t="shared" si="28"/>
        <v>3291.2618768653529</v>
      </c>
    </row>
    <row r="112" spans="1:18" x14ac:dyDescent="0.25">
      <c r="A112" s="162">
        <v>9</v>
      </c>
      <c r="B112" s="201">
        <f t="shared" si="35"/>
        <v>44075</v>
      </c>
      <c r="C112" s="225">
        <f t="shared" si="32"/>
        <v>44109</v>
      </c>
      <c r="D112" s="225">
        <f t="shared" si="32"/>
        <v>44130</v>
      </c>
      <c r="E112" s="54" t="s">
        <v>19</v>
      </c>
      <c r="F112" s="162">
        <v>9</v>
      </c>
      <c r="G112" s="204">
        <v>41</v>
      </c>
      <c r="H112" s="205">
        <f t="shared" si="25"/>
        <v>1093.1099999999999</v>
      </c>
      <c r="I112" s="205">
        <f t="shared" si="34"/>
        <v>1176.9000000000001</v>
      </c>
      <c r="J112" s="206">
        <f t="shared" si="36"/>
        <v>48252.9</v>
      </c>
      <c r="K112" s="213">
        <f t="shared" si="30"/>
        <v>44817.509999999995</v>
      </c>
      <c r="L112" s="212">
        <f t="shared" si="33"/>
        <v>3435.3900000000067</v>
      </c>
      <c r="M112" s="209">
        <f t="shared" si="26"/>
        <v>115.70834082839461</v>
      </c>
      <c r="N112" s="210">
        <f t="shared" si="27"/>
        <v>3551.0983408284014</v>
      </c>
      <c r="O112" s="209">
        <v>0</v>
      </c>
      <c r="P112" s="209">
        <v>0</v>
      </c>
      <c r="Q112" s="209">
        <v>0</v>
      </c>
      <c r="R112" s="210">
        <f t="shared" si="28"/>
        <v>3551.0983408284014</v>
      </c>
    </row>
    <row r="113" spans="1:18" x14ac:dyDescent="0.25">
      <c r="A113" s="125">
        <v>10</v>
      </c>
      <c r="B113" s="201">
        <f t="shared" si="35"/>
        <v>44105</v>
      </c>
      <c r="C113" s="225">
        <f t="shared" si="32"/>
        <v>44139</v>
      </c>
      <c r="D113" s="225">
        <f t="shared" si="32"/>
        <v>44159</v>
      </c>
      <c r="E113" s="54" t="s">
        <v>19</v>
      </c>
      <c r="F113" s="162">
        <v>9</v>
      </c>
      <c r="G113" s="204">
        <v>42</v>
      </c>
      <c r="H113" s="205">
        <f t="shared" si="25"/>
        <v>1093.1099999999999</v>
      </c>
      <c r="I113" s="205">
        <f t="shared" si="34"/>
        <v>1176.9000000000001</v>
      </c>
      <c r="J113" s="206">
        <f t="shared" si="36"/>
        <v>49429.8</v>
      </c>
      <c r="K113" s="213">
        <f t="shared" si="30"/>
        <v>45910.619999999995</v>
      </c>
      <c r="L113" s="212">
        <f t="shared" si="33"/>
        <v>3519.1800000000076</v>
      </c>
      <c r="M113" s="209">
        <f t="shared" si="26"/>
        <v>118.53049548274569</v>
      </c>
      <c r="N113" s="210">
        <f t="shared" si="27"/>
        <v>3637.7104954827532</v>
      </c>
      <c r="O113" s="209">
        <v>0</v>
      </c>
      <c r="P113" s="209">
        <v>0</v>
      </c>
      <c r="Q113" s="209">
        <v>0</v>
      </c>
      <c r="R113" s="210">
        <f t="shared" si="28"/>
        <v>3637.7104954827532</v>
      </c>
    </row>
    <row r="114" spans="1:18" x14ac:dyDescent="0.25">
      <c r="A114" s="162">
        <v>11</v>
      </c>
      <c r="B114" s="201">
        <f t="shared" si="35"/>
        <v>44136</v>
      </c>
      <c r="C114" s="225">
        <f t="shared" si="32"/>
        <v>44168</v>
      </c>
      <c r="D114" s="225">
        <f t="shared" si="32"/>
        <v>44189</v>
      </c>
      <c r="E114" s="54" t="s">
        <v>19</v>
      </c>
      <c r="F114" s="162">
        <v>9</v>
      </c>
      <c r="G114" s="204">
        <v>45</v>
      </c>
      <c r="H114" s="205">
        <f t="shared" si="25"/>
        <v>1093.1099999999999</v>
      </c>
      <c r="I114" s="205">
        <f t="shared" si="34"/>
        <v>1176.9000000000001</v>
      </c>
      <c r="J114" s="206">
        <f t="shared" si="36"/>
        <v>52960.500000000007</v>
      </c>
      <c r="K114" s="213">
        <f t="shared" si="30"/>
        <v>49189.95</v>
      </c>
      <c r="L114" s="212">
        <f t="shared" si="33"/>
        <v>3770.5500000000102</v>
      </c>
      <c r="M114" s="209">
        <f t="shared" si="26"/>
        <v>126.99695944579896</v>
      </c>
      <c r="N114" s="210">
        <f t="shared" si="27"/>
        <v>3897.5469594458091</v>
      </c>
      <c r="O114" s="209">
        <v>0</v>
      </c>
      <c r="P114" s="209">
        <v>0</v>
      </c>
      <c r="Q114" s="209">
        <v>0</v>
      </c>
      <c r="R114" s="210">
        <f t="shared" si="28"/>
        <v>3897.5469594458091</v>
      </c>
    </row>
    <row r="115" spans="1:18" s="229" customFormat="1" x14ac:dyDescent="0.25">
      <c r="A115" s="162">
        <v>12</v>
      </c>
      <c r="B115" s="227">
        <f t="shared" si="35"/>
        <v>44166</v>
      </c>
      <c r="C115" s="230">
        <f t="shared" si="32"/>
        <v>44202</v>
      </c>
      <c r="D115" s="230">
        <f t="shared" si="32"/>
        <v>44221</v>
      </c>
      <c r="E115" s="228" t="s">
        <v>19</v>
      </c>
      <c r="F115" s="173">
        <v>9</v>
      </c>
      <c r="G115" s="216">
        <v>43</v>
      </c>
      <c r="H115" s="217">
        <f t="shared" si="25"/>
        <v>1093.1099999999999</v>
      </c>
      <c r="I115" s="217">
        <f t="shared" si="34"/>
        <v>1176.9000000000001</v>
      </c>
      <c r="J115" s="218">
        <f t="shared" si="36"/>
        <v>50606.700000000004</v>
      </c>
      <c r="K115" s="219">
        <f t="shared" si="30"/>
        <v>47003.729999999996</v>
      </c>
      <c r="L115" s="220">
        <f t="shared" si="33"/>
        <v>3602.9700000000084</v>
      </c>
      <c r="M115" s="209">
        <f t="shared" si="26"/>
        <v>121.35265013709679</v>
      </c>
      <c r="N115" s="210">
        <f t="shared" si="27"/>
        <v>3724.322650137105</v>
      </c>
      <c r="O115" s="209">
        <v>0</v>
      </c>
      <c r="P115" s="209">
        <v>0</v>
      </c>
      <c r="Q115" s="209">
        <v>0</v>
      </c>
      <c r="R115" s="210">
        <f t="shared" si="28"/>
        <v>3724.322650137105</v>
      </c>
    </row>
    <row r="116" spans="1:18" x14ac:dyDescent="0.25">
      <c r="A116" s="125">
        <v>1</v>
      </c>
      <c r="B116" s="201">
        <f t="shared" si="35"/>
        <v>43831</v>
      </c>
      <c r="C116" s="225">
        <f t="shared" si="32"/>
        <v>43866</v>
      </c>
      <c r="D116" s="225">
        <f t="shared" si="32"/>
        <v>43885</v>
      </c>
      <c r="E116" s="203" t="s">
        <v>13</v>
      </c>
      <c r="F116" s="125">
        <v>9</v>
      </c>
      <c r="G116" s="204">
        <v>973</v>
      </c>
      <c r="H116" s="205">
        <f t="shared" si="25"/>
        <v>1093.1099999999999</v>
      </c>
      <c r="I116" s="205">
        <f t="shared" si="34"/>
        <v>1176.9000000000001</v>
      </c>
      <c r="J116" s="206">
        <f t="shared" si="36"/>
        <v>1145123.7000000002</v>
      </c>
      <c r="K116" s="207">
        <f t="shared" si="30"/>
        <v>1063596.0299999998</v>
      </c>
      <c r="L116" s="208">
        <f>+J116-K116</f>
        <v>81527.670000000391</v>
      </c>
      <c r="M116" s="209">
        <f t="shared" si="26"/>
        <v>2745.9564786836086</v>
      </c>
      <c r="N116" s="210">
        <f t="shared" si="27"/>
        <v>84273.626478684004</v>
      </c>
      <c r="O116" s="209">
        <v>0</v>
      </c>
      <c r="P116" s="209">
        <v>0</v>
      </c>
      <c r="Q116" s="209">
        <v>0</v>
      </c>
      <c r="R116" s="210">
        <f t="shared" si="28"/>
        <v>84273.626478684004</v>
      </c>
    </row>
    <row r="117" spans="1:18" x14ac:dyDescent="0.25">
      <c r="A117" s="162">
        <v>2</v>
      </c>
      <c r="B117" s="201">
        <f t="shared" si="35"/>
        <v>43862</v>
      </c>
      <c r="C117" s="225">
        <f t="shared" ref="C117:D139" si="37">+C105</f>
        <v>43894</v>
      </c>
      <c r="D117" s="225">
        <f t="shared" si="37"/>
        <v>43914</v>
      </c>
      <c r="E117" s="211" t="s">
        <v>13</v>
      </c>
      <c r="F117" s="162">
        <v>9</v>
      </c>
      <c r="G117" s="204">
        <v>991</v>
      </c>
      <c r="H117" s="205">
        <f t="shared" si="25"/>
        <v>1093.1099999999999</v>
      </c>
      <c r="I117" s="205">
        <f t="shared" si="34"/>
        <v>1176.9000000000001</v>
      </c>
      <c r="J117" s="206">
        <f t="shared" si="36"/>
        <v>1166307.9000000001</v>
      </c>
      <c r="K117" s="207">
        <f t="shared" si="30"/>
        <v>1083272.01</v>
      </c>
      <c r="L117" s="208">
        <f>+J117-K117</f>
        <v>83035.89000000013</v>
      </c>
      <c r="M117" s="209">
        <f t="shared" si="26"/>
        <v>2796.7552624619284</v>
      </c>
      <c r="N117" s="210">
        <f t="shared" si="27"/>
        <v>85832.645262462058</v>
      </c>
      <c r="O117" s="209">
        <v>0</v>
      </c>
      <c r="P117" s="209">
        <v>0</v>
      </c>
      <c r="Q117" s="209">
        <v>0</v>
      </c>
      <c r="R117" s="210">
        <f t="shared" si="28"/>
        <v>85832.645262462058</v>
      </c>
    </row>
    <row r="118" spans="1:18" x14ac:dyDescent="0.25">
      <c r="A118" s="162">
        <v>3</v>
      </c>
      <c r="B118" s="201">
        <f t="shared" si="35"/>
        <v>43891</v>
      </c>
      <c r="C118" s="225">
        <f t="shared" si="37"/>
        <v>43924</v>
      </c>
      <c r="D118" s="225">
        <f t="shared" si="37"/>
        <v>43945</v>
      </c>
      <c r="E118" s="211" t="s">
        <v>13</v>
      </c>
      <c r="F118" s="162">
        <v>9</v>
      </c>
      <c r="G118" s="204">
        <v>585</v>
      </c>
      <c r="H118" s="205">
        <f t="shared" si="25"/>
        <v>1093.1099999999999</v>
      </c>
      <c r="I118" s="205">
        <f t="shared" si="34"/>
        <v>1176.9000000000001</v>
      </c>
      <c r="J118" s="206">
        <f t="shared" si="36"/>
        <v>688486.5</v>
      </c>
      <c r="K118" s="207">
        <f t="shared" si="30"/>
        <v>639469.35</v>
      </c>
      <c r="L118" s="208">
        <f>+J118-K118</f>
        <v>49017.150000000023</v>
      </c>
      <c r="M118" s="209">
        <f t="shared" si="26"/>
        <v>1650.9604727953865</v>
      </c>
      <c r="N118" s="210">
        <f t="shared" si="27"/>
        <v>50668.110472795408</v>
      </c>
      <c r="O118" s="209">
        <v>0</v>
      </c>
      <c r="P118" s="209">
        <v>0</v>
      </c>
      <c r="Q118" s="209">
        <v>0</v>
      </c>
      <c r="R118" s="210">
        <f t="shared" si="28"/>
        <v>50668.110472795408</v>
      </c>
    </row>
    <row r="119" spans="1:18" x14ac:dyDescent="0.25">
      <c r="A119" s="125">
        <v>4</v>
      </c>
      <c r="B119" s="201">
        <f t="shared" si="35"/>
        <v>43922</v>
      </c>
      <c r="C119" s="225">
        <f t="shared" si="37"/>
        <v>43956</v>
      </c>
      <c r="D119" s="225">
        <f t="shared" si="37"/>
        <v>43976</v>
      </c>
      <c r="E119" s="54" t="s">
        <v>13</v>
      </c>
      <c r="F119" s="162">
        <v>9</v>
      </c>
      <c r="G119" s="204">
        <v>650</v>
      </c>
      <c r="H119" s="205">
        <f t="shared" si="25"/>
        <v>1093.1099999999999</v>
      </c>
      <c r="I119" s="205">
        <f t="shared" si="34"/>
        <v>1176.9000000000001</v>
      </c>
      <c r="J119" s="206">
        <f t="shared" si="36"/>
        <v>764985.00000000012</v>
      </c>
      <c r="K119" s="207">
        <f t="shared" si="30"/>
        <v>710521.49999999988</v>
      </c>
      <c r="L119" s="208">
        <f t="shared" ref="L119:L127" si="38">+J119-K119</f>
        <v>54463.500000000233</v>
      </c>
      <c r="M119" s="209">
        <f t="shared" si="26"/>
        <v>1834.4005253282073</v>
      </c>
      <c r="N119" s="210">
        <f t="shared" si="27"/>
        <v>56297.900525328441</v>
      </c>
      <c r="O119" s="209">
        <v>0</v>
      </c>
      <c r="P119" s="209">
        <v>0</v>
      </c>
      <c r="Q119" s="209">
        <v>0</v>
      </c>
      <c r="R119" s="210">
        <f t="shared" si="28"/>
        <v>56297.900525328441</v>
      </c>
    </row>
    <row r="120" spans="1:18" x14ac:dyDescent="0.25">
      <c r="A120" s="162">
        <v>5</v>
      </c>
      <c r="B120" s="201">
        <f t="shared" si="35"/>
        <v>43952</v>
      </c>
      <c r="C120" s="225">
        <f t="shared" si="37"/>
        <v>43985</v>
      </c>
      <c r="D120" s="225">
        <f t="shared" si="37"/>
        <v>44006</v>
      </c>
      <c r="E120" s="54" t="s">
        <v>13</v>
      </c>
      <c r="F120" s="162">
        <v>9</v>
      </c>
      <c r="G120" s="204">
        <v>688</v>
      </c>
      <c r="H120" s="205">
        <f t="shared" si="25"/>
        <v>1093.1099999999999</v>
      </c>
      <c r="I120" s="205">
        <f t="shared" si="34"/>
        <v>1176.9000000000001</v>
      </c>
      <c r="J120" s="206">
        <f t="shared" si="36"/>
        <v>809707.20000000007</v>
      </c>
      <c r="K120" s="207">
        <f t="shared" si="30"/>
        <v>752059.67999999993</v>
      </c>
      <c r="L120" s="208">
        <f t="shared" si="38"/>
        <v>57647.520000000135</v>
      </c>
      <c r="M120" s="209">
        <f t="shared" si="26"/>
        <v>1941.6424021935486</v>
      </c>
      <c r="N120" s="210">
        <f t="shared" si="27"/>
        <v>59589.16240219368</v>
      </c>
      <c r="O120" s="209">
        <v>0</v>
      </c>
      <c r="P120" s="209">
        <v>0</v>
      </c>
      <c r="Q120" s="209">
        <v>0</v>
      </c>
      <c r="R120" s="210">
        <f t="shared" si="28"/>
        <v>59589.16240219368</v>
      </c>
    </row>
    <row r="121" spans="1:18" x14ac:dyDescent="0.25">
      <c r="A121" s="162">
        <v>6</v>
      </c>
      <c r="B121" s="201">
        <f t="shared" si="35"/>
        <v>43983</v>
      </c>
      <c r="C121" s="225">
        <f t="shared" si="37"/>
        <v>44015</v>
      </c>
      <c r="D121" s="225">
        <f t="shared" si="37"/>
        <v>44036</v>
      </c>
      <c r="E121" s="54" t="s">
        <v>13</v>
      </c>
      <c r="F121" s="162">
        <v>9</v>
      </c>
      <c r="G121" s="204">
        <v>835</v>
      </c>
      <c r="H121" s="205">
        <f t="shared" si="25"/>
        <v>1093.1099999999999</v>
      </c>
      <c r="I121" s="205">
        <f t="shared" si="34"/>
        <v>1176.9000000000001</v>
      </c>
      <c r="J121" s="206">
        <f t="shared" si="36"/>
        <v>982711.50000000012</v>
      </c>
      <c r="K121" s="207">
        <f t="shared" si="30"/>
        <v>912746.84999999986</v>
      </c>
      <c r="L121" s="212">
        <f t="shared" si="38"/>
        <v>69964.650000000256</v>
      </c>
      <c r="M121" s="209">
        <f t="shared" si="26"/>
        <v>2356.4991363831582</v>
      </c>
      <c r="N121" s="210">
        <f t="shared" si="27"/>
        <v>72321.149136383421</v>
      </c>
      <c r="O121" s="209">
        <v>0</v>
      </c>
      <c r="P121" s="209">
        <v>0</v>
      </c>
      <c r="Q121" s="209">
        <v>0</v>
      </c>
      <c r="R121" s="210">
        <f t="shared" si="28"/>
        <v>72321.149136383421</v>
      </c>
    </row>
    <row r="122" spans="1:18" x14ac:dyDescent="0.25">
      <c r="A122" s="125">
        <v>7</v>
      </c>
      <c r="B122" s="201">
        <f t="shared" si="35"/>
        <v>44013</v>
      </c>
      <c r="C122" s="225">
        <f t="shared" si="37"/>
        <v>44048</v>
      </c>
      <c r="D122" s="225">
        <f t="shared" si="37"/>
        <v>44067</v>
      </c>
      <c r="E122" s="54" t="s">
        <v>13</v>
      </c>
      <c r="F122" s="162">
        <v>9</v>
      </c>
      <c r="G122" s="204">
        <v>908</v>
      </c>
      <c r="H122" s="205">
        <f t="shared" si="25"/>
        <v>1093.1099999999999</v>
      </c>
      <c r="I122" s="205">
        <f t="shared" si="34"/>
        <v>1176.9000000000001</v>
      </c>
      <c r="J122" s="206">
        <f t="shared" si="36"/>
        <v>1068625.2000000002</v>
      </c>
      <c r="K122" s="213">
        <f t="shared" si="30"/>
        <v>992543.87999999989</v>
      </c>
      <c r="L122" s="212">
        <f t="shared" si="38"/>
        <v>76081.320000000298</v>
      </c>
      <c r="M122" s="209">
        <f t="shared" si="26"/>
        <v>2562.516426150788</v>
      </c>
      <c r="N122" s="210">
        <f t="shared" si="27"/>
        <v>78643.836426151087</v>
      </c>
      <c r="O122" s="209">
        <v>0</v>
      </c>
      <c r="P122" s="209">
        <v>0</v>
      </c>
      <c r="Q122" s="209">
        <v>0</v>
      </c>
      <c r="R122" s="210">
        <f t="shared" si="28"/>
        <v>78643.836426151087</v>
      </c>
    </row>
    <row r="123" spans="1:18" x14ac:dyDescent="0.25">
      <c r="A123" s="162">
        <v>8</v>
      </c>
      <c r="B123" s="201">
        <f t="shared" si="35"/>
        <v>44044</v>
      </c>
      <c r="C123" s="225">
        <f t="shared" si="37"/>
        <v>44077</v>
      </c>
      <c r="D123" s="225">
        <f t="shared" si="37"/>
        <v>44098</v>
      </c>
      <c r="E123" s="54" t="s">
        <v>13</v>
      </c>
      <c r="F123" s="162">
        <v>9</v>
      </c>
      <c r="G123" s="204">
        <v>905</v>
      </c>
      <c r="H123" s="205">
        <f t="shared" si="25"/>
        <v>1093.1099999999999</v>
      </c>
      <c r="I123" s="205">
        <f t="shared" si="34"/>
        <v>1176.9000000000001</v>
      </c>
      <c r="J123" s="206">
        <f t="shared" si="36"/>
        <v>1065094.5</v>
      </c>
      <c r="K123" s="213">
        <f t="shared" si="30"/>
        <v>989264.54999999993</v>
      </c>
      <c r="L123" s="212">
        <f t="shared" si="38"/>
        <v>75829.95000000007</v>
      </c>
      <c r="M123" s="209">
        <f t="shared" si="26"/>
        <v>2554.0499621877348</v>
      </c>
      <c r="N123" s="210">
        <f t="shared" si="27"/>
        <v>78383.999962187809</v>
      </c>
      <c r="O123" s="209">
        <v>0</v>
      </c>
      <c r="P123" s="209">
        <v>0</v>
      </c>
      <c r="Q123" s="209">
        <v>0</v>
      </c>
      <c r="R123" s="210">
        <f t="shared" si="28"/>
        <v>78383.999962187809</v>
      </c>
    </row>
    <row r="124" spans="1:18" x14ac:dyDescent="0.25">
      <c r="A124" s="162">
        <v>9</v>
      </c>
      <c r="B124" s="201">
        <f t="shared" si="35"/>
        <v>44075</v>
      </c>
      <c r="C124" s="225">
        <f t="shared" si="37"/>
        <v>44109</v>
      </c>
      <c r="D124" s="225">
        <f t="shared" si="37"/>
        <v>44130</v>
      </c>
      <c r="E124" s="54" t="s">
        <v>13</v>
      </c>
      <c r="F124" s="162">
        <v>9</v>
      </c>
      <c r="G124" s="204">
        <v>758</v>
      </c>
      <c r="H124" s="205">
        <f t="shared" si="25"/>
        <v>1093.1099999999999</v>
      </c>
      <c r="I124" s="205">
        <f t="shared" si="34"/>
        <v>1176.9000000000001</v>
      </c>
      <c r="J124" s="206">
        <f t="shared" si="36"/>
        <v>892090.20000000007</v>
      </c>
      <c r="K124" s="213">
        <f t="shared" si="30"/>
        <v>828577.37999999989</v>
      </c>
      <c r="L124" s="212">
        <f t="shared" si="38"/>
        <v>63512.820000000182</v>
      </c>
      <c r="M124" s="209">
        <f t="shared" si="26"/>
        <v>2139.1932279981247</v>
      </c>
      <c r="N124" s="210">
        <f t="shared" si="27"/>
        <v>65652.013227998308</v>
      </c>
      <c r="O124" s="209">
        <v>0</v>
      </c>
      <c r="P124" s="209">
        <v>0</v>
      </c>
      <c r="Q124" s="209">
        <v>0</v>
      </c>
      <c r="R124" s="210">
        <f t="shared" si="28"/>
        <v>65652.013227998308</v>
      </c>
    </row>
    <row r="125" spans="1:18" x14ac:dyDescent="0.25">
      <c r="A125" s="125">
        <v>10</v>
      </c>
      <c r="B125" s="201">
        <f t="shared" si="35"/>
        <v>44105</v>
      </c>
      <c r="C125" s="225">
        <f t="shared" si="37"/>
        <v>44139</v>
      </c>
      <c r="D125" s="225">
        <f t="shared" si="37"/>
        <v>44159</v>
      </c>
      <c r="E125" s="54" t="s">
        <v>13</v>
      </c>
      <c r="F125" s="162">
        <v>9</v>
      </c>
      <c r="G125" s="204">
        <v>713</v>
      </c>
      <c r="H125" s="205">
        <f t="shared" si="25"/>
        <v>1093.1099999999999</v>
      </c>
      <c r="I125" s="205">
        <f t="shared" si="34"/>
        <v>1176.9000000000001</v>
      </c>
      <c r="J125" s="206">
        <f t="shared" si="36"/>
        <v>839129.70000000007</v>
      </c>
      <c r="K125" s="213">
        <f t="shared" si="30"/>
        <v>779387.42999999993</v>
      </c>
      <c r="L125" s="212">
        <f t="shared" si="38"/>
        <v>59742.270000000135</v>
      </c>
      <c r="M125" s="209">
        <f t="shared" si="26"/>
        <v>2012.1962685523258</v>
      </c>
      <c r="N125" s="210">
        <f t="shared" si="27"/>
        <v>61754.46626855246</v>
      </c>
      <c r="O125" s="209">
        <v>0</v>
      </c>
      <c r="P125" s="209">
        <v>0</v>
      </c>
      <c r="Q125" s="209">
        <v>0</v>
      </c>
      <c r="R125" s="210">
        <f t="shared" si="28"/>
        <v>61754.46626855246</v>
      </c>
    </row>
    <row r="126" spans="1:18" x14ac:dyDescent="0.25">
      <c r="A126" s="162">
        <v>11</v>
      </c>
      <c r="B126" s="201">
        <f t="shared" si="35"/>
        <v>44136</v>
      </c>
      <c r="C126" s="225">
        <f t="shared" si="37"/>
        <v>44168</v>
      </c>
      <c r="D126" s="225">
        <f t="shared" si="37"/>
        <v>44189</v>
      </c>
      <c r="E126" s="54" t="s">
        <v>13</v>
      </c>
      <c r="F126" s="162">
        <v>9</v>
      </c>
      <c r="G126" s="204">
        <v>763</v>
      </c>
      <c r="H126" s="205">
        <f t="shared" si="25"/>
        <v>1093.1099999999999</v>
      </c>
      <c r="I126" s="205">
        <f t="shared" si="34"/>
        <v>1176.9000000000001</v>
      </c>
      <c r="J126" s="206">
        <f t="shared" si="36"/>
        <v>897974.70000000007</v>
      </c>
      <c r="K126" s="213">
        <f t="shared" si="30"/>
        <v>834042.92999999993</v>
      </c>
      <c r="L126" s="212">
        <f t="shared" si="38"/>
        <v>63931.770000000135</v>
      </c>
      <c r="M126" s="209">
        <f t="shared" si="26"/>
        <v>2153.3040012698802</v>
      </c>
      <c r="N126" s="210">
        <f t="shared" si="27"/>
        <v>66085.074001270012</v>
      </c>
      <c r="O126" s="209">
        <v>0</v>
      </c>
      <c r="P126" s="209">
        <v>0</v>
      </c>
      <c r="Q126" s="209">
        <v>0</v>
      </c>
      <c r="R126" s="210">
        <f t="shared" si="28"/>
        <v>66085.074001270012</v>
      </c>
    </row>
    <row r="127" spans="1:18" s="229" customFormat="1" x14ac:dyDescent="0.25">
      <c r="A127" s="162">
        <v>12</v>
      </c>
      <c r="B127" s="227">
        <f t="shared" si="35"/>
        <v>44166</v>
      </c>
      <c r="C127" s="230">
        <f t="shared" si="37"/>
        <v>44202</v>
      </c>
      <c r="D127" s="230">
        <f t="shared" si="37"/>
        <v>44221</v>
      </c>
      <c r="E127" s="228" t="s">
        <v>13</v>
      </c>
      <c r="F127" s="173">
        <v>9</v>
      </c>
      <c r="G127" s="216">
        <v>988</v>
      </c>
      <c r="H127" s="217">
        <f t="shared" si="25"/>
        <v>1093.1099999999999</v>
      </c>
      <c r="I127" s="217">
        <f t="shared" si="34"/>
        <v>1176.9000000000001</v>
      </c>
      <c r="J127" s="218">
        <f t="shared" si="36"/>
        <v>1162777.2000000002</v>
      </c>
      <c r="K127" s="219">
        <f t="shared" si="30"/>
        <v>1079992.68</v>
      </c>
      <c r="L127" s="220">
        <f t="shared" si="38"/>
        <v>82784.520000000251</v>
      </c>
      <c r="M127" s="209">
        <f t="shared" si="26"/>
        <v>2788.2887984988747</v>
      </c>
      <c r="N127" s="210">
        <f t="shared" si="27"/>
        <v>85572.808798499129</v>
      </c>
      <c r="O127" s="209">
        <v>0</v>
      </c>
      <c r="P127" s="209">
        <v>0</v>
      </c>
      <c r="Q127" s="209">
        <v>0</v>
      </c>
      <c r="R127" s="210">
        <f t="shared" si="28"/>
        <v>85572.808798499129</v>
      </c>
    </row>
    <row r="128" spans="1:18" x14ac:dyDescent="0.25">
      <c r="A128" s="125">
        <v>1</v>
      </c>
      <c r="B128" s="201">
        <f t="shared" si="35"/>
        <v>43831</v>
      </c>
      <c r="C128" s="225">
        <f t="shared" si="37"/>
        <v>43866</v>
      </c>
      <c r="D128" s="225">
        <f t="shared" si="37"/>
        <v>43885</v>
      </c>
      <c r="E128" s="203" t="s">
        <v>15</v>
      </c>
      <c r="F128" s="125">
        <v>9</v>
      </c>
      <c r="G128" s="204">
        <v>6</v>
      </c>
      <c r="H128" s="205">
        <f t="shared" si="25"/>
        <v>1093.1099999999999</v>
      </c>
      <c r="I128" s="205">
        <f t="shared" ref="I128:I147" si="39">$J$3</f>
        <v>1176.9000000000001</v>
      </c>
      <c r="J128" s="206">
        <f t="shared" si="36"/>
        <v>7061.4000000000005</v>
      </c>
      <c r="K128" s="207">
        <f t="shared" si="30"/>
        <v>6558.66</v>
      </c>
      <c r="L128" s="208">
        <f>+J128-K128</f>
        <v>502.74000000000069</v>
      </c>
      <c r="M128" s="209">
        <f t="shared" si="26"/>
        <v>16.932927926106526</v>
      </c>
      <c r="N128" s="210">
        <f t="shared" si="27"/>
        <v>519.67292792610726</v>
      </c>
      <c r="O128" s="209">
        <v>0</v>
      </c>
      <c r="P128" s="209">
        <v>0</v>
      </c>
      <c r="Q128" s="209">
        <v>0</v>
      </c>
      <c r="R128" s="210">
        <f t="shared" si="28"/>
        <v>519.67292792610726</v>
      </c>
    </row>
    <row r="129" spans="1:18" x14ac:dyDescent="0.25">
      <c r="A129" s="162">
        <v>2</v>
      </c>
      <c r="B129" s="201">
        <f t="shared" si="35"/>
        <v>43862</v>
      </c>
      <c r="C129" s="225">
        <f t="shared" si="37"/>
        <v>43894</v>
      </c>
      <c r="D129" s="225">
        <f t="shared" si="37"/>
        <v>43914</v>
      </c>
      <c r="E129" s="211" t="s">
        <v>15</v>
      </c>
      <c r="F129" s="162">
        <v>9</v>
      </c>
      <c r="G129" s="204">
        <v>5</v>
      </c>
      <c r="H129" s="205">
        <f t="shared" si="25"/>
        <v>1093.1099999999999</v>
      </c>
      <c r="I129" s="205">
        <f t="shared" si="39"/>
        <v>1176.9000000000001</v>
      </c>
      <c r="J129" s="206">
        <f t="shared" si="36"/>
        <v>5884.5</v>
      </c>
      <c r="K129" s="207">
        <f t="shared" si="30"/>
        <v>5465.5499999999993</v>
      </c>
      <c r="L129" s="208">
        <f>+J129-K129</f>
        <v>418.95000000000073</v>
      </c>
      <c r="M129" s="209">
        <f t="shared" si="26"/>
        <v>14.110773271755441</v>
      </c>
      <c r="N129" s="210">
        <f t="shared" si="27"/>
        <v>433.06077327175615</v>
      </c>
      <c r="O129" s="209">
        <v>0</v>
      </c>
      <c r="P129" s="209">
        <v>0</v>
      </c>
      <c r="Q129" s="209">
        <v>0</v>
      </c>
      <c r="R129" s="210">
        <f t="shared" si="28"/>
        <v>433.06077327175615</v>
      </c>
    </row>
    <row r="130" spans="1:18" x14ac:dyDescent="0.25">
      <c r="A130" s="162">
        <v>3</v>
      </c>
      <c r="B130" s="201">
        <f t="shared" si="35"/>
        <v>43891</v>
      </c>
      <c r="C130" s="225">
        <f t="shared" si="37"/>
        <v>43924</v>
      </c>
      <c r="D130" s="225">
        <f t="shared" si="37"/>
        <v>43945</v>
      </c>
      <c r="E130" s="211" t="s">
        <v>15</v>
      </c>
      <c r="F130" s="162">
        <v>9</v>
      </c>
      <c r="G130" s="204">
        <v>4</v>
      </c>
      <c r="H130" s="205">
        <f t="shared" si="25"/>
        <v>1093.1099999999999</v>
      </c>
      <c r="I130" s="205">
        <f t="shared" si="39"/>
        <v>1176.9000000000001</v>
      </c>
      <c r="J130" s="206">
        <f t="shared" si="36"/>
        <v>4707.6000000000004</v>
      </c>
      <c r="K130" s="207">
        <f t="shared" si="30"/>
        <v>4372.4399999999996</v>
      </c>
      <c r="L130" s="208">
        <f>+J130-K130</f>
        <v>335.16000000000076</v>
      </c>
      <c r="M130" s="209">
        <f t="shared" si="26"/>
        <v>11.288618617404351</v>
      </c>
      <c r="N130" s="210">
        <f t="shared" si="27"/>
        <v>346.44861861740509</v>
      </c>
      <c r="O130" s="209">
        <v>0</v>
      </c>
      <c r="P130" s="209">
        <v>0</v>
      </c>
      <c r="Q130" s="209">
        <v>0</v>
      </c>
      <c r="R130" s="210">
        <f t="shared" si="28"/>
        <v>346.44861861740509</v>
      </c>
    </row>
    <row r="131" spans="1:18" x14ac:dyDescent="0.25">
      <c r="A131" s="125">
        <v>4</v>
      </c>
      <c r="B131" s="201">
        <f t="shared" si="35"/>
        <v>43922</v>
      </c>
      <c r="C131" s="225">
        <f t="shared" si="37"/>
        <v>43956</v>
      </c>
      <c r="D131" s="225">
        <f t="shared" si="37"/>
        <v>43976</v>
      </c>
      <c r="E131" s="211" t="s">
        <v>15</v>
      </c>
      <c r="F131" s="162">
        <v>9</v>
      </c>
      <c r="G131" s="204">
        <v>7</v>
      </c>
      <c r="H131" s="205">
        <f t="shared" si="25"/>
        <v>1093.1099999999999</v>
      </c>
      <c r="I131" s="205">
        <f t="shared" si="39"/>
        <v>1176.9000000000001</v>
      </c>
      <c r="J131" s="206">
        <f t="shared" si="36"/>
        <v>8238.3000000000011</v>
      </c>
      <c r="K131" s="207">
        <f t="shared" si="30"/>
        <v>7651.7699999999995</v>
      </c>
      <c r="L131" s="208">
        <f t="shared" ref="L131:L141" si="40">+J131-K131</f>
        <v>586.53000000000156</v>
      </c>
      <c r="M131" s="209">
        <f t="shared" si="26"/>
        <v>19.755082580457614</v>
      </c>
      <c r="N131" s="210">
        <f t="shared" si="27"/>
        <v>606.28508258045918</v>
      </c>
      <c r="O131" s="209">
        <v>0</v>
      </c>
      <c r="P131" s="209">
        <v>0</v>
      </c>
      <c r="Q131" s="209">
        <v>0</v>
      </c>
      <c r="R131" s="210">
        <f t="shared" si="28"/>
        <v>606.28508258045918</v>
      </c>
    </row>
    <row r="132" spans="1:18" x14ac:dyDescent="0.25">
      <c r="A132" s="162">
        <v>5</v>
      </c>
      <c r="B132" s="201">
        <f t="shared" si="35"/>
        <v>43952</v>
      </c>
      <c r="C132" s="225">
        <f t="shared" si="37"/>
        <v>43985</v>
      </c>
      <c r="D132" s="225">
        <f t="shared" si="37"/>
        <v>44006</v>
      </c>
      <c r="E132" s="54" t="s">
        <v>15</v>
      </c>
      <c r="F132" s="162">
        <v>9</v>
      </c>
      <c r="G132" s="204">
        <v>11</v>
      </c>
      <c r="H132" s="205">
        <f t="shared" si="25"/>
        <v>1093.1099999999999</v>
      </c>
      <c r="I132" s="205">
        <f t="shared" si="39"/>
        <v>1176.9000000000001</v>
      </c>
      <c r="J132" s="206">
        <f t="shared" si="36"/>
        <v>12945.900000000001</v>
      </c>
      <c r="K132" s="207">
        <f t="shared" si="30"/>
        <v>12024.21</v>
      </c>
      <c r="L132" s="208">
        <f t="shared" si="40"/>
        <v>921.69000000000233</v>
      </c>
      <c r="M132" s="209">
        <f t="shared" si="26"/>
        <v>31.043701197861971</v>
      </c>
      <c r="N132" s="210">
        <f t="shared" si="27"/>
        <v>952.73370119786432</v>
      </c>
      <c r="O132" s="209">
        <v>0</v>
      </c>
      <c r="P132" s="209">
        <v>0</v>
      </c>
      <c r="Q132" s="209">
        <v>0</v>
      </c>
      <c r="R132" s="210">
        <f t="shared" si="28"/>
        <v>952.73370119786432</v>
      </c>
    </row>
    <row r="133" spans="1:18" x14ac:dyDescent="0.25">
      <c r="A133" s="162">
        <v>6</v>
      </c>
      <c r="B133" s="201">
        <f t="shared" si="35"/>
        <v>43983</v>
      </c>
      <c r="C133" s="225">
        <f t="shared" si="37"/>
        <v>44015</v>
      </c>
      <c r="D133" s="225">
        <f t="shared" si="37"/>
        <v>44036</v>
      </c>
      <c r="E133" s="54" t="s">
        <v>15</v>
      </c>
      <c r="F133" s="162">
        <v>9</v>
      </c>
      <c r="G133" s="204">
        <v>12</v>
      </c>
      <c r="H133" s="205">
        <f t="shared" si="25"/>
        <v>1093.1099999999999</v>
      </c>
      <c r="I133" s="205">
        <f t="shared" si="39"/>
        <v>1176.9000000000001</v>
      </c>
      <c r="J133" s="206">
        <f t="shared" si="36"/>
        <v>14122.800000000001</v>
      </c>
      <c r="K133" s="207">
        <f t="shared" si="30"/>
        <v>13117.32</v>
      </c>
      <c r="L133" s="212">
        <f t="shared" si="40"/>
        <v>1005.4800000000014</v>
      </c>
      <c r="M133" s="209">
        <f t="shared" si="26"/>
        <v>33.865855852213052</v>
      </c>
      <c r="N133" s="210">
        <f t="shared" si="27"/>
        <v>1039.3458558522145</v>
      </c>
      <c r="O133" s="209">
        <v>0</v>
      </c>
      <c r="P133" s="209">
        <v>0</v>
      </c>
      <c r="Q133" s="209">
        <v>0</v>
      </c>
      <c r="R133" s="210">
        <f t="shared" si="28"/>
        <v>1039.3458558522145</v>
      </c>
    </row>
    <row r="134" spans="1:18" x14ac:dyDescent="0.25">
      <c r="A134" s="125">
        <v>7</v>
      </c>
      <c r="B134" s="201">
        <f t="shared" si="35"/>
        <v>44013</v>
      </c>
      <c r="C134" s="225">
        <f t="shared" si="37"/>
        <v>44048</v>
      </c>
      <c r="D134" s="225">
        <f t="shared" si="37"/>
        <v>44067</v>
      </c>
      <c r="E134" s="54" t="s">
        <v>15</v>
      </c>
      <c r="F134" s="162">
        <v>9</v>
      </c>
      <c r="G134" s="204">
        <v>18</v>
      </c>
      <c r="H134" s="205">
        <f t="shared" si="25"/>
        <v>1093.1099999999999</v>
      </c>
      <c r="I134" s="205">
        <f t="shared" si="39"/>
        <v>1176.9000000000001</v>
      </c>
      <c r="J134" s="206">
        <f t="shared" si="36"/>
        <v>21184.2</v>
      </c>
      <c r="K134" s="213">
        <f t="shared" ref="K134:K197" si="41">+$G134*H134</f>
        <v>19675.98</v>
      </c>
      <c r="L134" s="212">
        <f t="shared" si="40"/>
        <v>1508.2200000000012</v>
      </c>
      <c r="M134" s="209">
        <f t="shared" si="26"/>
        <v>50.798783778319589</v>
      </c>
      <c r="N134" s="210">
        <f t="shared" si="27"/>
        <v>1559.0187837783208</v>
      </c>
      <c r="O134" s="209">
        <v>0</v>
      </c>
      <c r="P134" s="209">
        <v>0</v>
      </c>
      <c r="Q134" s="209">
        <v>0</v>
      </c>
      <c r="R134" s="210">
        <f t="shared" si="28"/>
        <v>1559.0187837783208</v>
      </c>
    </row>
    <row r="135" spans="1:18" x14ac:dyDescent="0.25">
      <c r="A135" s="162">
        <v>8</v>
      </c>
      <c r="B135" s="201">
        <f t="shared" si="35"/>
        <v>44044</v>
      </c>
      <c r="C135" s="225">
        <f t="shared" si="37"/>
        <v>44077</v>
      </c>
      <c r="D135" s="225">
        <f t="shared" si="37"/>
        <v>44098</v>
      </c>
      <c r="E135" s="54" t="s">
        <v>15</v>
      </c>
      <c r="F135" s="162">
        <v>9</v>
      </c>
      <c r="G135" s="204">
        <v>16</v>
      </c>
      <c r="H135" s="205">
        <f t="shared" si="25"/>
        <v>1093.1099999999999</v>
      </c>
      <c r="I135" s="205">
        <f t="shared" si="39"/>
        <v>1176.9000000000001</v>
      </c>
      <c r="J135" s="206">
        <f t="shared" si="36"/>
        <v>18830.400000000001</v>
      </c>
      <c r="K135" s="213">
        <f t="shared" si="41"/>
        <v>17489.759999999998</v>
      </c>
      <c r="L135" s="212">
        <f t="shared" si="40"/>
        <v>1340.6400000000031</v>
      </c>
      <c r="M135" s="209">
        <f t="shared" si="26"/>
        <v>45.154474469617405</v>
      </c>
      <c r="N135" s="210">
        <f t="shared" si="27"/>
        <v>1385.7944744696204</v>
      </c>
      <c r="O135" s="209">
        <v>0</v>
      </c>
      <c r="P135" s="209">
        <v>0</v>
      </c>
      <c r="Q135" s="209">
        <v>0</v>
      </c>
      <c r="R135" s="210">
        <f t="shared" si="28"/>
        <v>1385.7944744696204</v>
      </c>
    </row>
    <row r="136" spans="1:18" x14ac:dyDescent="0.25">
      <c r="A136" s="162">
        <v>9</v>
      </c>
      <c r="B136" s="201">
        <f t="shared" si="35"/>
        <v>44075</v>
      </c>
      <c r="C136" s="225">
        <f t="shared" si="37"/>
        <v>44109</v>
      </c>
      <c r="D136" s="225">
        <f t="shared" si="37"/>
        <v>44130</v>
      </c>
      <c r="E136" s="54" t="s">
        <v>15</v>
      </c>
      <c r="F136" s="162">
        <v>9</v>
      </c>
      <c r="G136" s="204">
        <v>6</v>
      </c>
      <c r="H136" s="205">
        <f t="shared" si="25"/>
        <v>1093.1099999999999</v>
      </c>
      <c r="I136" s="205">
        <f t="shared" si="39"/>
        <v>1176.9000000000001</v>
      </c>
      <c r="J136" s="206">
        <f t="shared" si="36"/>
        <v>7061.4000000000005</v>
      </c>
      <c r="K136" s="213">
        <f t="shared" si="41"/>
        <v>6558.66</v>
      </c>
      <c r="L136" s="212">
        <f t="shared" si="40"/>
        <v>502.74000000000069</v>
      </c>
      <c r="M136" s="209">
        <f t="shared" si="26"/>
        <v>16.932927926106526</v>
      </c>
      <c r="N136" s="210">
        <f t="shared" si="27"/>
        <v>519.67292792610726</v>
      </c>
      <c r="O136" s="209">
        <v>0</v>
      </c>
      <c r="P136" s="209">
        <v>0</v>
      </c>
      <c r="Q136" s="209">
        <v>0</v>
      </c>
      <c r="R136" s="210">
        <f t="shared" si="28"/>
        <v>519.67292792610726</v>
      </c>
    </row>
    <row r="137" spans="1:18" x14ac:dyDescent="0.25">
      <c r="A137" s="125">
        <v>10</v>
      </c>
      <c r="B137" s="201">
        <f t="shared" si="35"/>
        <v>44105</v>
      </c>
      <c r="C137" s="225">
        <f t="shared" si="37"/>
        <v>44139</v>
      </c>
      <c r="D137" s="225">
        <f t="shared" si="37"/>
        <v>44159</v>
      </c>
      <c r="E137" s="54" t="s">
        <v>15</v>
      </c>
      <c r="F137" s="162">
        <v>9</v>
      </c>
      <c r="G137" s="204">
        <v>7</v>
      </c>
      <c r="H137" s="205">
        <f t="shared" si="25"/>
        <v>1093.1099999999999</v>
      </c>
      <c r="I137" s="205">
        <f t="shared" si="39"/>
        <v>1176.9000000000001</v>
      </c>
      <c r="J137" s="206">
        <f t="shared" si="36"/>
        <v>8238.3000000000011</v>
      </c>
      <c r="K137" s="213">
        <f t="shared" si="41"/>
        <v>7651.7699999999995</v>
      </c>
      <c r="L137" s="212">
        <f t="shared" si="40"/>
        <v>586.53000000000156</v>
      </c>
      <c r="M137" s="209">
        <f t="shared" si="26"/>
        <v>19.755082580457614</v>
      </c>
      <c r="N137" s="210">
        <f t="shared" si="27"/>
        <v>606.28508258045918</v>
      </c>
      <c r="O137" s="209">
        <v>0</v>
      </c>
      <c r="P137" s="209">
        <v>0</v>
      </c>
      <c r="Q137" s="209">
        <v>0</v>
      </c>
      <c r="R137" s="210">
        <f t="shared" si="28"/>
        <v>606.28508258045918</v>
      </c>
    </row>
    <row r="138" spans="1:18" x14ac:dyDescent="0.25">
      <c r="A138" s="162">
        <v>11</v>
      </c>
      <c r="B138" s="201">
        <f t="shared" si="35"/>
        <v>44136</v>
      </c>
      <c r="C138" s="225">
        <f t="shared" si="37"/>
        <v>44168</v>
      </c>
      <c r="D138" s="225">
        <f t="shared" si="37"/>
        <v>44189</v>
      </c>
      <c r="E138" s="54" t="s">
        <v>15</v>
      </c>
      <c r="F138" s="162">
        <v>9</v>
      </c>
      <c r="G138" s="204">
        <v>6</v>
      </c>
      <c r="H138" s="205">
        <f t="shared" si="25"/>
        <v>1093.1099999999999</v>
      </c>
      <c r="I138" s="205">
        <f t="shared" si="39"/>
        <v>1176.9000000000001</v>
      </c>
      <c r="J138" s="206">
        <f t="shared" si="36"/>
        <v>7061.4000000000005</v>
      </c>
      <c r="K138" s="213">
        <f t="shared" si="41"/>
        <v>6558.66</v>
      </c>
      <c r="L138" s="212">
        <f t="shared" si="40"/>
        <v>502.74000000000069</v>
      </c>
      <c r="M138" s="209">
        <f t="shared" si="26"/>
        <v>16.932927926106526</v>
      </c>
      <c r="N138" s="210">
        <f t="shared" si="27"/>
        <v>519.67292792610726</v>
      </c>
      <c r="O138" s="209">
        <v>0</v>
      </c>
      <c r="P138" s="209">
        <v>0</v>
      </c>
      <c r="Q138" s="209">
        <v>0</v>
      </c>
      <c r="R138" s="210">
        <f t="shared" si="28"/>
        <v>519.67292792610726</v>
      </c>
    </row>
    <row r="139" spans="1:18" s="229" customFormat="1" x14ac:dyDescent="0.25">
      <c r="A139" s="162">
        <v>12</v>
      </c>
      <c r="B139" s="227">
        <f t="shared" si="35"/>
        <v>44166</v>
      </c>
      <c r="C139" s="225">
        <f t="shared" si="37"/>
        <v>44202</v>
      </c>
      <c r="D139" s="225">
        <f t="shared" si="37"/>
        <v>44221</v>
      </c>
      <c r="E139" s="228" t="s">
        <v>15</v>
      </c>
      <c r="F139" s="173">
        <v>9</v>
      </c>
      <c r="G139" s="216">
        <v>8</v>
      </c>
      <c r="H139" s="217">
        <f t="shared" si="25"/>
        <v>1093.1099999999999</v>
      </c>
      <c r="I139" s="217">
        <f t="shared" si="39"/>
        <v>1176.9000000000001</v>
      </c>
      <c r="J139" s="218">
        <f t="shared" si="36"/>
        <v>9415.2000000000007</v>
      </c>
      <c r="K139" s="219">
        <f t="shared" si="41"/>
        <v>8744.8799999999992</v>
      </c>
      <c r="L139" s="220">
        <f t="shared" si="40"/>
        <v>670.32000000000153</v>
      </c>
      <c r="M139" s="209">
        <f t="shared" si="26"/>
        <v>22.577237234808702</v>
      </c>
      <c r="N139" s="210">
        <f t="shared" si="27"/>
        <v>692.89723723481018</v>
      </c>
      <c r="O139" s="209">
        <v>0</v>
      </c>
      <c r="P139" s="209">
        <v>0</v>
      </c>
      <c r="Q139" s="209">
        <v>0</v>
      </c>
      <c r="R139" s="210">
        <f t="shared" si="28"/>
        <v>692.89723723481018</v>
      </c>
    </row>
    <row r="140" spans="1:18" x14ac:dyDescent="0.25">
      <c r="A140" s="125">
        <v>1</v>
      </c>
      <c r="B140" s="201">
        <f t="shared" si="35"/>
        <v>43831</v>
      </c>
      <c r="C140" s="222">
        <f t="shared" ref="C140:D151" si="42">+C128</f>
        <v>43866</v>
      </c>
      <c r="D140" s="222">
        <f t="shared" si="42"/>
        <v>43885</v>
      </c>
      <c r="E140" s="232" t="s">
        <v>16</v>
      </c>
      <c r="F140" s="162">
        <v>9</v>
      </c>
      <c r="G140" s="204">
        <v>2</v>
      </c>
      <c r="H140" s="205">
        <f t="shared" si="25"/>
        <v>1093.1099999999999</v>
      </c>
      <c r="I140" s="205">
        <f t="shared" si="39"/>
        <v>1176.9000000000001</v>
      </c>
      <c r="J140" s="206">
        <f t="shared" si="36"/>
        <v>2353.8000000000002</v>
      </c>
      <c r="K140" s="207">
        <f t="shared" si="41"/>
        <v>2186.2199999999998</v>
      </c>
      <c r="L140" s="208">
        <f t="shared" si="40"/>
        <v>167.58000000000038</v>
      </c>
      <c r="M140" s="209">
        <f t="shared" si="26"/>
        <v>5.6443093087021756</v>
      </c>
      <c r="N140" s="210">
        <f t="shared" si="27"/>
        <v>173.22430930870254</v>
      </c>
      <c r="O140" s="209">
        <v>0</v>
      </c>
      <c r="P140" s="209">
        <v>0</v>
      </c>
      <c r="Q140" s="209">
        <v>0</v>
      </c>
      <c r="R140" s="210">
        <f t="shared" si="28"/>
        <v>173.22430930870254</v>
      </c>
    </row>
    <row r="141" spans="1:18" x14ac:dyDescent="0.25">
      <c r="A141" s="162">
        <v>2</v>
      </c>
      <c r="B141" s="201">
        <f t="shared" si="35"/>
        <v>43862</v>
      </c>
      <c r="C141" s="225">
        <f t="shared" si="42"/>
        <v>43894</v>
      </c>
      <c r="D141" s="225">
        <f t="shared" si="42"/>
        <v>43914</v>
      </c>
      <c r="E141" s="54" t="s">
        <v>16</v>
      </c>
      <c r="F141" s="162">
        <v>9</v>
      </c>
      <c r="G141" s="204">
        <v>3</v>
      </c>
      <c r="H141" s="205">
        <f t="shared" si="25"/>
        <v>1093.1099999999999</v>
      </c>
      <c r="I141" s="205">
        <f t="shared" si="39"/>
        <v>1176.9000000000001</v>
      </c>
      <c r="J141" s="206">
        <f t="shared" si="36"/>
        <v>3530.7000000000003</v>
      </c>
      <c r="K141" s="207">
        <f t="shared" si="41"/>
        <v>3279.33</v>
      </c>
      <c r="L141" s="208">
        <f t="shared" si="40"/>
        <v>251.37000000000035</v>
      </c>
      <c r="M141" s="209">
        <f t="shared" si="26"/>
        <v>8.466463963053263</v>
      </c>
      <c r="N141" s="210">
        <f t="shared" si="27"/>
        <v>259.83646396305363</v>
      </c>
      <c r="O141" s="209">
        <v>0</v>
      </c>
      <c r="P141" s="209">
        <v>0</v>
      </c>
      <c r="Q141" s="209">
        <v>0</v>
      </c>
      <c r="R141" s="210">
        <f t="shared" si="28"/>
        <v>259.83646396305363</v>
      </c>
    </row>
    <row r="142" spans="1:18" x14ac:dyDescent="0.25">
      <c r="A142" s="162">
        <v>3</v>
      </c>
      <c r="B142" s="201">
        <f t="shared" si="35"/>
        <v>43891</v>
      </c>
      <c r="C142" s="225">
        <f t="shared" si="42"/>
        <v>43924</v>
      </c>
      <c r="D142" s="225">
        <f t="shared" si="42"/>
        <v>43945</v>
      </c>
      <c r="E142" s="54" t="s">
        <v>16</v>
      </c>
      <c r="F142" s="162">
        <v>9</v>
      </c>
      <c r="G142" s="204">
        <v>1</v>
      </c>
      <c r="H142" s="205">
        <f t="shared" si="25"/>
        <v>1093.1099999999999</v>
      </c>
      <c r="I142" s="205">
        <f t="shared" si="39"/>
        <v>1176.9000000000001</v>
      </c>
      <c r="J142" s="206">
        <f t="shared" si="36"/>
        <v>1176.9000000000001</v>
      </c>
      <c r="K142" s="207">
        <f t="shared" si="41"/>
        <v>1093.1099999999999</v>
      </c>
      <c r="L142" s="208">
        <f>+J142-K142</f>
        <v>83.790000000000191</v>
      </c>
      <c r="M142" s="209">
        <f t="shared" si="26"/>
        <v>2.8221546543510878</v>
      </c>
      <c r="N142" s="210">
        <f t="shared" si="27"/>
        <v>86.612154654351272</v>
      </c>
      <c r="O142" s="209">
        <v>0</v>
      </c>
      <c r="P142" s="209">
        <v>0</v>
      </c>
      <c r="Q142" s="209">
        <v>0</v>
      </c>
      <c r="R142" s="210">
        <f t="shared" si="28"/>
        <v>86.612154654351272</v>
      </c>
    </row>
    <row r="143" spans="1:18" x14ac:dyDescent="0.25">
      <c r="A143" s="125">
        <v>4</v>
      </c>
      <c r="B143" s="201">
        <f t="shared" si="35"/>
        <v>43922</v>
      </c>
      <c r="C143" s="225">
        <f t="shared" si="42"/>
        <v>43956</v>
      </c>
      <c r="D143" s="225">
        <f t="shared" si="42"/>
        <v>43976</v>
      </c>
      <c r="E143" s="54" t="s">
        <v>16</v>
      </c>
      <c r="F143" s="162">
        <v>9</v>
      </c>
      <c r="G143" s="204">
        <v>2</v>
      </c>
      <c r="H143" s="205">
        <f t="shared" si="25"/>
        <v>1093.1099999999999</v>
      </c>
      <c r="I143" s="205">
        <f t="shared" si="39"/>
        <v>1176.9000000000001</v>
      </c>
      <c r="J143" s="206">
        <f t="shared" si="36"/>
        <v>2353.8000000000002</v>
      </c>
      <c r="K143" s="207">
        <f t="shared" si="41"/>
        <v>2186.2199999999998</v>
      </c>
      <c r="L143" s="208">
        <f t="shared" ref="L143:L153" si="43">+J143-K143</f>
        <v>167.58000000000038</v>
      </c>
      <c r="M143" s="209">
        <f t="shared" si="26"/>
        <v>5.6443093087021756</v>
      </c>
      <c r="N143" s="210">
        <f t="shared" si="27"/>
        <v>173.22430930870254</v>
      </c>
      <c r="O143" s="209">
        <v>0</v>
      </c>
      <c r="P143" s="209">
        <v>0</v>
      </c>
      <c r="Q143" s="209">
        <v>0</v>
      </c>
      <c r="R143" s="210">
        <f t="shared" si="28"/>
        <v>173.22430930870254</v>
      </c>
    </row>
    <row r="144" spans="1:18" x14ac:dyDescent="0.25">
      <c r="A144" s="162">
        <v>5</v>
      </c>
      <c r="B144" s="201">
        <f t="shared" si="35"/>
        <v>43952</v>
      </c>
      <c r="C144" s="225">
        <f t="shared" si="42"/>
        <v>43985</v>
      </c>
      <c r="D144" s="225">
        <f t="shared" si="42"/>
        <v>44006</v>
      </c>
      <c r="E144" s="54" t="s">
        <v>16</v>
      </c>
      <c r="F144" s="162">
        <v>9</v>
      </c>
      <c r="G144" s="204">
        <v>2</v>
      </c>
      <c r="H144" s="205">
        <f t="shared" si="25"/>
        <v>1093.1099999999999</v>
      </c>
      <c r="I144" s="205">
        <f t="shared" si="39"/>
        <v>1176.9000000000001</v>
      </c>
      <c r="J144" s="206">
        <f t="shared" si="36"/>
        <v>2353.8000000000002</v>
      </c>
      <c r="K144" s="207">
        <f t="shared" si="41"/>
        <v>2186.2199999999998</v>
      </c>
      <c r="L144" s="208">
        <f t="shared" si="43"/>
        <v>167.58000000000038</v>
      </c>
      <c r="M144" s="209">
        <f t="shared" si="26"/>
        <v>5.6443093087021756</v>
      </c>
      <c r="N144" s="210">
        <f t="shared" si="27"/>
        <v>173.22430930870254</v>
      </c>
      <c r="O144" s="209">
        <v>0</v>
      </c>
      <c r="P144" s="209">
        <v>0</v>
      </c>
      <c r="Q144" s="209">
        <v>0</v>
      </c>
      <c r="R144" s="210">
        <f t="shared" si="28"/>
        <v>173.22430930870254</v>
      </c>
    </row>
    <row r="145" spans="1:19" x14ac:dyDescent="0.25">
      <c r="A145" s="162">
        <v>6</v>
      </c>
      <c r="B145" s="201">
        <f t="shared" si="35"/>
        <v>43983</v>
      </c>
      <c r="C145" s="225">
        <f t="shared" si="42"/>
        <v>44015</v>
      </c>
      <c r="D145" s="225">
        <f t="shared" si="42"/>
        <v>44036</v>
      </c>
      <c r="E145" s="54" t="s">
        <v>16</v>
      </c>
      <c r="F145" s="162">
        <v>9</v>
      </c>
      <c r="G145" s="204">
        <v>4</v>
      </c>
      <c r="H145" s="205">
        <f t="shared" si="25"/>
        <v>1093.1099999999999</v>
      </c>
      <c r="I145" s="205">
        <f t="shared" si="39"/>
        <v>1176.9000000000001</v>
      </c>
      <c r="J145" s="206">
        <f t="shared" si="36"/>
        <v>4707.6000000000004</v>
      </c>
      <c r="K145" s="207">
        <f t="shared" si="41"/>
        <v>4372.4399999999996</v>
      </c>
      <c r="L145" s="212">
        <f t="shared" si="43"/>
        <v>335.16000000000076</v>
      </c>
      <c r="M145" s="209">
        <f t="shared" si="26"/>
        <v>11.288618617404351</v>
      </c>
      <c r="N145" s="210">
        <f t="shared" si="27"/>
        <v>346.44861861740509</v>
      </c>
      <c r="O145" s="209">
        <v>0</v>
      </c>
      <c r="P145" s="209">
        <v>0</v>
      </c>
      <c r="Q145" s="209">
        <v>0</v>
      </c>
      <c r="R145" s="210">
        <f t="shared" si="28"/>
        <v>346.44861861740509</v>
      </c>
    </row>
    <row r="146" spans="1:19" x14ac:dyDescent="0.25">
      <c r="A146" s="125">
        <v>7</v>
      </c>
      <c r="B146" s="201">
        <f t="shared" si="35"/>
        <v>44013</v>
      </c>
      <c r="C146" s="225">
        <f t="shared" si="42"/>
        <v>44048</v>
      </c>
      <c r="D146" s="225">
        <f t="shared" si="42"/>
        <v>44067</v>
      </c>
      <c r="E146" s="54" t="s">
        <v>16</v>
      </c>
      <c r="F146" s="162">
        <v>9</v>
      </c>
      <c r="G146" s="204">
        <v>6</v>
      </c>
      <c r="H146" s="205">
        <f t="shared" si="25"/>
        <v>1093.1099999999999</v>
      </c>
      <c r="I146" s="205">
        <f t="shared" si="39"/>
        <v>1176.9000000000001</v>
      </c>
      <c r="J146" s="206">
        <f t="shared" si="36"/>
        <v>7061.4000000000005</v>
      </c>
      <c r="K146" s="213">
        <f t="shared" si="41"/>
        <v>6558.66</v>
      </c>
      <c r="L146" s="212">
        <f t="shared" si="43"/>
        <v>502.74000000000069</v>
      </c>
      <c r="M146" s="209">
        <f t="shared" si="26"/>
        <v>16.932927926106526</v>
      </c>
      <c r="N146" s="210">
        <f t="shared" si="27"/>
        <v>519.67292792610726</v>
      </c>
      <c r="O146" s="209">
        <v>0</v>
      </c>
      <c r="P146" s="209">
        <v>0</v>
      </c>
      <c r="Q146" s="209">
        <v>0</v>
      </c>
      <c r="R146" s="210">
        <f t="shared" si="28"/>
        <v>519.67292792610726</v>
      </c>
    </row>
    <row r="147" spans="1:19" x14ac:dyDescent="0.25">
      <c r="A147" s="162">
        <v>8</v>
      </c>
      <c r="B147" s="201">
        <f t="shared" si="35"/>
        <v>44044</v>
      </c>
      <c r="C147" s="225">
        <f t="shared" si="42"/>
        <v>44077</v>
      </c>
      <c r="D147" s="225">
        <f t="shared" si="42"/>
        <v>44098</v>
      </c>
      <c r="E147" s="54" t="s">
        <v>16</v>
      </c>
      <c r="F147" s="162">
        <v>9</v>
      </c>
      <c r="G147" s="204">
        <v>5</v>
      </c>
      <c r="H147" s="205">
        <f t="shared" si="25"/>
        <v>1093.1099999999999</v>
      </c>
      <c r="I147" s="205">
        <f t="shared" si="39"/>
        <v>1176.9000000000001</v>
      </c>
      <c r="J147" s="206">
        <f t="shared" si="36"/>
        <v>5884.5</v>
      </c>
      <c r="K147" s="213">
        <f t="shared" si="41"/>
        <v>5465.5499999999993</v>
      </c>
      <c r="L147" s="212">
        <f t="shared" si="43"/>
        <v>418.95000000000073</v>
      </c>
      <c r="M147" s="209">
        <f t="shared" si="26"/>
        <v>14.110773271755441</v>
      </c>
      <c r="N147" s="210">
        <f t="shared" si="27"/>
        <v>433.06077327175615</v>
      </c>
      <c r="O147" s="209">
        <v>0</v>
      </c>
      <c r="P147" s="209">
        <v>0</v>
      </c>
      <c r="Q147" s="209">
        <v>0</v>
      </c>
      <c r="R147" s="210">
        <f t="shared" si="28"/>
        <v>433.06077327175615</v>
      </c>
    </row>
    <row r="148" spans="1:19" x14ac:dyDescent="0.25">
      <c r="A148" s="162">
        <v>9</v>
      </c>
      <c r="B148" s="201">
        <f t="shared" si="35"/>
        <v>44075</v>
      </c>
      <c r="C148" s="225">
        <f t="shared" si="42"/>
        <v>44109</v>
      </c>
      <c r="D148" s="225">
        <f t="shared" si="42"/>
        <v>44130</v>
      </c>
      <c r="E148" s="54" t="s">
        <v>16</v>
      </c>
      <c r="F148" s="162">
        <v>9</v>
      </c>
      <c r="G148" s="204">
        <v>2</v>
      </c>
      <c r="H148" s="205">
        <f t="shared" si="25"/>
        <v>1093.1099999999999</v>
      </c>
      <c r="I148" s="205">
        <f t="shared" ref="I148:I179" si="44">$J$3</f>
        <v>1176.9000000000001</v>
      </c>
      <c r="J148" s="206">
        <f t="shared" si="36"/>
        <v>2353.8000000000002</v>
      </c>
      <c r="K148" s="213">
        <f t="shared" si="41"/>
        <v>2186.2199999999998</v>
      </c>
      <c r="L148" s="212">
        <f t="shared" si="43"/>
        <v>167.58000000000038</v>
      </c>
      <c r="M148" s="209">
        <f t="shared" si="26"/>
        <v>5.6443093087021756</v>
      </c>
      <c r="N148" s="210">
        <f t="shared" si="27"/>
        <v>173.22430930870254</v>
      </c>
      <c r="O148" s="209">
        <v>0</v>
      </c>
      <c r="P148" s="209">
        <v>0</v>
      </c>
      <c r="Q148" s="209">
        <v>0</v>
      </c>
      <c r="R148" s="210">
        <f t="shared" si="28"/>
        <v>173.22430930870254</v>
      </c>
    </row>
    <row r="149" spans="1:19" x14ac:dyDescent="0.25">
      <c r="A149" s="125">
        <v>10</v>
      </c>
      <c r="B149" s="201">
        <f t="shared" ref="B149:B211" si="45">DATE($R$1,A149,1)</f>
        <v>44105</v>
      </c>
      <c r="C149" s="225">
        <f t="shared" si="42"/>
        <v>44139</v>
      </c>
      <c r="D149" s="225">
        <f t="shared" si="42"/>
        <v>44159</v>
      </c>
      <c r="E149" s="54" t="s">
        <v>16</v>
      </c>
      <c r="F149" s="162">
        <v>9</v>
      </c>
      <c r="G149" s="204">
        <v>1</v>
      </c>
      <c r="H149" s="205">
        <f t="shared" ref="H149:H211" si="46">+$K$3</f>
        <v>1093.1099999999999</v>
      </c>
      <c r="I149" s="205">
        <f t="shared" si="44"/>
        <v>1176.9000000000001</v>
      </c>
      <c r="J149" s="206">
        <f t="shared" ref="J149:J211" si="47">+$G149*I149</f>
        <v>1176.9000000000001</v>
      </c>
      <c r="K149" s="213">
        <f t="shared" si="41"/>
        <v>1093.1099999999999</v>
      </c>
      <c r="L149" s="212">
        <f t="shared" si="43"/>
        <v>83.790000000000191</v>
      </c>
      <c r="M149" s="209">
        <f t="shared" ref="M149:M211" si="48">G149/$G$212*$M$14</f>
        <v>2.8221546543510878</v>
      </c>
      <c r="N149" s="210">
        <f t="shared" ref="N149:N211" si="49">SUM(L149:M149)</f>
        <v>86.612154654351272</v>
      </c>
      <c r="O149" s="209">
        <v>0</v>
      </c>
      <c r="P149" s="209">
        <v>0</v>
      </c>
      <c r="Q149" s="209">
        <v>0</v>
      </c>
      <c r="R149" s="210">
        <f t="shared" ref="R149:R211" si="50">+N149-Q149</f>
        <v>86.612154654351272</v>
      </c>
    </row>
    <row r="150" spans="1:19" x14ac:dyDescent="0.25">
      <c r="A150" s="162">
        <v>11</v>
      </c>
      <c r="B150" s="201">
        <f t="shared" si="45"/>
        <v>44136</v>
      </c>
      <c r="C150" s="225">
        <f t="shared" si="42"/>
        <v>44168</v>
      </c>
      <c r="D150" s="225">
        <f t="shared" si="42"/>
        <v>44189</v>
      </c>
      <c r="E150" s="54" t="s">
        <v>16</v>
      </c>
      <c r="F150" s="162">
        <v>9</v>
      </c>
      <c r="G150" s="204">
        <v>3</v>
      </c>
      <c r="H150" s="205">
        <f t="shared" si="46"/>
        <v>1093.1099999999999</v>
      </c>
      <c r="I150" s="205">
        <f t="shared" si="44"/>
        <v>1176.9000000000001</v>
      </c>
      <c r="J150" s="206">
        <f t="shared" si="47"/>
        <v>3530.7000000000003</v>
      </c>
      <c r="K150" s="213">
        <f t="shared" si="41"/>
        <v>3279.33</v>
      </c>
      <c r="L150" s="212">
        <f t="shared" si="43"/>
        <v>251.37000000000035</v>
      </c>
      <c r="M150" s="209">
        <f t="shared" si="48"/>
        <v>8.466463963053263</v>
      </c>
      <c r="N150" s="210">
        <f t="shared" si="49"/>
        <v>259.83646396305363</v>
      </c>
      <c r="O150" s="209">
        <v>0</v>
      </c>
      <c r="P150" s="209">
        <v>0</v>
      </c>
      <c r="Q150" s="209">
        <v>0</v>
      </c>
      <c r="R150" s="210">
        <f t="shared" si="50"/>
        <v>259.83646396305363</v>
      </c>
    </row>
    <row r="151" spans="1:19" s="229" customFormat="1" x14ac:dyDescent="0.25">
      <c r="A151" s="162">
        <v>12</v>
      </c>
      <c r="B151" s="227">
        <f t="shared" si="45"/>
        <v>44166</v>
      </c>
      <c r="C151" s="225">
        <f t="shared" si="42"/>
        <v>44202</v>
      </c>
      <c r="D151" s="225">
        <f t="shared" si="42"/>
        <v>44221</v>
      </c>
      <c r="E151" s="228" t="s">
        <v>16</v>
      </c>
      <c r="F151" s="173">
        <v>9</v>
      </c>
      <c r="G151" s="216">
        <v>1</v>
      </c>
      <c r="H151" s="217">
        <f t="shared" si="46"/>
        <v>1093.1099999999999</v>
      </c>
      <c r="I151" s="217">
        <f t="shared" si="44"/>
        <v>1176.9000000000001</v>
      </c>
      <c r="J151" s="218">
        <f t="shared" si="47"/>
        <v>1176.9000000000001</v>
      </c>
      <c r="K151" s="219">
        <f t="shared" si="41"/>
        <v>1093.1099999999999</v>
      </c>
      <c r="L151" s="220">
        <f t="shared" si="43"/>
        <v>83.790000000000191</v>
      </c>
      <c r="M151" s="209">
        <f t="shared" si="48"/>
        <v>2.8221546543510878</v>
      </c>
      <c r="N151" s="210">
        <f t="shared" si="49"/>
        <v>86.612154654351272</v>
      </c>
      <c r="O151" s="209">
        <v>0</v>
      </c>
      <c r="P151" s="209">
        <v>0</v>
      </c>
      <c r="Q151" s="209">
        <v>0</v>
      </c>
      <c r="R151" s="210">
        <f t="shared" si="50"/>
        <v>86.612154654351272</v>
      </c>
    </row>
    <row r="152" spans="1:19" x14ac:dyDescent="0.25">
      <c r="A152" s="125">
        <v>1</v>
      </c>
      <c r="B152" s="201">
        <f t="shared" si="45"/>
        <v>43831</v>
      </c>
      <c r="C152" s="222">
        <f t="shared" ref="C152:D171" si="51">+C140</f>
        <v>43866</v>
      </c>
      <c r="D152" s="222">
        <f t="shared" si="51"/>
        <v>43885</v>
      </c>
      <c r="E152" s="232" t="s">
        <v>54</v>
      </c>
      <c r="F152" s="125">
        <v>9</v>
      </c>
      <c r="G152" s="204">
        <v>109</v>
      </c>
      <c r="H152" s="205">
        <f t="shared" si="46"/>
        <v>1093.1099999999999</v>
      </c>
      <c r="I152" s="205">
        <f t="shared" si="44"/>
        <v>1176.9000000000001</v>
      </c>
      <c r="J152" s="206">
        <f t="shared" si="47"/>
        <v>128282.1</v>
      </c>
      <c r="K152" s="207">
        <f t="shared" si="41"/>
        <v>119148.98999999999</v>
      </c>
      <c r="L152" s="208">
        <f t="shared" si="43"/>
        <v>9133.1100000000151</v>
      </c>
      <c r="M152" s="209">
        <f t="shared" si="48"/>
        <v>307.6148573242686</v>
      </c>
      <c r="N152" s="210">
        <f t="shared" si="49"/>
        <v>9440.7248573242832</v>
      </c>
      <c r="O152" s="209">
        <v>0</v>
      </c>
      <c r="P152" s="209">
        <v>0</v>
      </c>
      <c r="Q152" s="209">
        <v>0</v>
      </c>
      <c r="R152" s="210">
        <f t="shared" si="50"/>
        <v>9440.7248573242832</v>
      </c>
    </row>
    <row r="153" spans="1:19" x14ac:dyDescent="0.25">
      <c r="A153" s="162">
        <v>2</v>
      </c>
      <c r="B153" s="201">
        <f t="shared" si="45"/>
        <v>43862</v>
      </c>
      <c r="C153" s="225">
        <f t="shared" si="51"/>
        <v>43894</v>
      </c>
      <c r="D153" s="225">
        <f t="shared" si="51"/>
        <v>43914</v>
      </c>
      <c r="E153" s="233" t="s">
        <v>54</v>
      </c>
      <c r="F153" s="162">
        <v>9</v>
      </c>
      <c r="G153" s="204">
        <v>104</v>
      </c>
      <c r="H153" s="205">
        <f t="shared" si="46"/>
        <v>1093.1099999999999</v>
      </c>
      <c r="I153" s="205">
        <f t="shared" si="44"/>
        <v>1176.9000000000001</v>
      </c>
      <c r="J153" s="206">
        <f t="shared" si="47"/>
        <v>122397.6</v>
      </c>
      <c r="K153" s="207">
        <f t="shared" si="41"/>
        <v>113683.43999999999</v>
      </c>
      <c r="L153" s="208">
        <f t="shared" si="43"/>
        <v>8714.160000000018</v>
      </c>
      <c r="M153" s="209">
        <f t="shared" si="48"/>
        <v>293.50408405251318</v>
      </c>
      <c r="N153" s="210">
        <f t="shared" si="49"/>
        <v>9007.6640840525306</v>
      </c>
      <c r="O153" s="209">
        <v>0</v>
      </c>
      <c r="P153" s="209">
        <v>0</v>
      </c>
      <c r="Q153" s="209">
        <v>0</v>
      </c>
      <c r="R153" s="210">
        <f t="shared" si="50"/>
        <v>9007.6640840525306</v>
      </c>
    </row>
    <row r="154" spans="1:19" x14ac:dyDescent="0.25">
      <c r="A154" s="162">
        <v>3</v>
      </c>
      <c r="B154" s="201">
        <f t="shared" si="45"/>
        <v>43891</v>
      </c>
      <c r="C154" s="225">
        <f t="shared" si="51"/>
        <v>43924</v>
      </c>
      <c r="D154" s="225">
        <f t="shared" si="51"/>
        <v>43945</v>
      </c>
      <c r="E154" s="233" t="s">
        <v>54</v>
      </c>
      <c r="F154" s="162">
        <v>9</v>
      </c>
      <c r="G154" s="204">
        <v>87</v>
      </c>
      <c r="H154" s="205">
        <f t="shared" si="46"/>
        <v>1093.1099999999999</v>
      </c>
      <c r="I154" s="205">
        <f t="shared" si="44"/>
        <v>1176.9000000000001</v>
      </c>
      <c r="J154" s="206">
        <f t="shared" si="47"/>
        <v>102390.3</v>
      </c>
      <c r="K154" s="207">
        <f t="shared" si="41"/>
        <v>95100.569999999992</v>
      </c>
      <c r="L154" s="208">
        <f>+J154-K154</f>
        <v>7289.7300000000105</v>
      </c>
      <c r="M154" s="209">
        <f t="shared" si="48"/>
        <v>245.52745492854467</v>
      </c>
      <c r="N154" s="210">
        <f t="shared" si="49"/>
        <v>7535.2574549285555</v>
      </c>
      <c r="O154" s="209">
        <v>0</v>
      </c>
      <c r="P154" s="209">
        <v>0</v>
      </c>
      <c r="Q154" s="209">
        <v>0</v>
      </c>
      <c r="R154" s="210">
        <f t="shared" si="50"/>
        <v>7535.2574549285555</v>
      </c>
    </row>
    <row r="155" spans="1:19" x14ac:dyDescent="0.25">
      <c r="A155" s="125">
        <v>4</v>
      </c>
      <c r="B155" s="201">
        <f t="shared" si="45"/>
        <v>43922</v>
      </c>
      <c r="C155" s="225">
        <f t="shared" si="51"/>
        <v>43956</v>
      </c>
      <c r="D155" s="225">
        <f t="shared" si="51"/>
        <v>43976</v>
      </c>
      <c r="E155" s="233" t="s">
        <v>54</v>
      </c>
      <c r="F155" s="162">
        <v>9</v>
      </c>
      <c r="G155" s="204">
        <v>102</v>
      </c>
      <c r="H155" s="205">
        <f t="shared" si="46"/>
        <v>1093.1099999999999</v>
      </c>
      <c r="I155" s="205">
        <f t="shared" si="44"/>
        <v>1176.9000000000001</v>
      </c>
      <c r="J155" s="206">
        <f t="shared" si="47"/>
        <v>120043.8</v>
      </c>
      <c r="K155" s="207">
        <f t="shared" si="41"/>
        <v>111497.21999999999</v>
      </c>
      <c r="L155" s="208">
        <f t="shared" ref="L155:L165" si="52">+J155-K155</f>
        <v>8546.5800000000163</v>
      </c>
      <c r="M155" s="209">
        <f t="shared" si="48"/>
        <v>287.85977474381099</v>
      </c>
      <c r="N155" s="210">
        <f t="shared" si="49"/>
        <v>8834.439774743827</v>
      </c>
      <c r="O155" s="209">
        <v>0</v>
      </c>
      <c r="P155" s="209">
        <v>0</v>
      </c>
      <c r="Q155" s="209">
        <v>0</v>
      </c>
      <c r="R155" s="210">
        <f t="shared" si="50"/>
        <v>8834.439774743827</v>
      </c>
    </row>
    <row r="156" spans="1:19" x14ac:dyDescent="0.25">
      <c r="A156" s="162">
        <v>5</v>
      </c>
      <c r="B156" s="201">
        <f t="shared" si="45"/>
        <v>43952</v>
      </c>
      <c r="C156" s="225">
        <f t="shared" si="51"/>
        <v>43985</v>
      </c>
      <c r="D156" s="225">
        <f t="shared" si="51"/>
        <v>44006</v>
      </c>
      <c r="E156" s="233" t="s">
        <v>54</v>
      </c>
      <c r="F156" s="162">
        <v>9</v>
      </c>
      <c r="G156" s="204">
        <v>92</v>
      </c>
      <c r="H156" s="205">
        <f t="shared" si="46"/>
        <v>1093.1099999999999</v>
      </c>
      <c r="I156" s="205">
        <f t="shared" si="44"/>
        <v>1176.9000000000001</v>
      </c>
      <c r="J156" s="206">
        <f t="shared" si="47"/>
        <v>108274.8</v>
      </c>
      <c r="K156" s="207">
        <f t="shared" si="41"/>
        <v>100566.12</v>
      </c>
      <c r="L156" s="208">
        <f t="shared" si="52"/>
        <v>7708.6800000000076</v>
      </c>
      <c r="M156" s="209">
        <f t="shared" si="48"/>
        <v>259.63822820030009</v>
      </c>
      <c r="N156" s="210">
        <f t="shared" si="49"/>
        <v>7968.3182282003072</v>
      </c>
      <c r="O156" s="209">
        <v>0</v>
      </c>
      <c r="P156" s="209">
        <v>0</v>
      </c>
      <c r="Q156" s="209">
        <v>0</v>
      </c>
      <c r="R156" s="210">
        <f t="shared" si="50"/>
        <v>7968.3182282003072</v>
      </c>
    </row>
    <row r="157" spans="1:19" x14ac:dyDescent="0.25">
      <c r="A157" s="162">
        <v>6</v>
      </c>
      <c r="B157" s="201">
        <f t="shared" si="45"/>
        <v>43983</v>
      </c>
      <c r="C157" s="225">
        <f t="shared" si="51"/>
        <v>44015</v>
      </c>
      <c r="D157" s="225">
        <f t="shared" si="51"/>
        <v>44036</v>
      </c>
      <c r="E157" s="233" t="s">
        <v>54</v>
      </c>
      <c r="F157" s="162">
        <v>9</v>
      </c>
      <c r="G157" s="204">
        <v>143</v>
      </c>
      <c r="H157" s="205">
        <f t="shared" si="46"/>
        <v>1093.1099999999999</v>
      </c>
      <c r="I157" s="205">
        <f t="shared" si="44"/>
        <v>1176.9000000000001</v>
      </c>
      <c r="J157" s="206">
        <f t="shared" si="47"/>
        <v>168296.7</v>
      </c>
      <c r="K157" s="207">
        <f t="shared" si="41"/>
        <v>156314.72999999998</v>
      </c>
      <c r="L157" s="212">
        <f t="shared" si="52"/>
        <v>11981.97000000003</v>
      </c>
      <c r="M157" s="209">
        <f t="shared" si="48"/>
        <v>403.56811557220561</v>
      </c>
      <c r="N157" s="210">
        <f t="shared" si="49"/>
        <v>12385.538115572235</v>
      </c>
      <c r="O157" s="209">
        <v>0</v>
      </c>
      <c r="P157" s="209">
        <v>0</v>
      </c>
      <c r="Q157" s="209">
        <v>0</v>
      </c>
      <c r="R157" s="210">
        <f t="shared" si="50"/>
        <v>12385.538115572235</v>
      </c>
    </row>
    <row r="158" spans="1:19" x14ac:dyDescent="0.25">
      <c r="A158" s="125">
        <v>7</v>
      </c>
      <c r="B158" s="201">
        <f t="shared" si="45"/>
        <v>44013</v>
      </c>
      <c r="C158" s="225">
        <f t="shared" si="51"/>
        <v>44048</v>
      </c>
      <c r="D158" s="225">
        <f t="shared" si="51"/>
        <v>44067</v>
      </c>
      <c r="E158" s="233" t="s">
        <v>54</v>
      </c>
      <c r="F158" s="162">
        <v>9</v>
      </c>
      <c r="G158" s="204">
        <v>138</v>
      </c>
      <c r="H158" s="205">
        <f t="shared" si="46"/>
        <v>1093.1099999999999</v>
      </c>
      <c r="I158" s="205">
        <f t="shared" si="44"/>
        <v>1176.9000000000001</v>
      </c>
      <c r="J158" s="206">
        <f t="shared" si="47"/>
        <v>162412.20000000001</v>
      </c>
      <c r="K158" s="213">
        <f t="shared" si="41"/>
        <v>150849.18</v>
      </c>
      <c r="L158" s="212">
        <f t="shared" si="52"/>
        <v>11563.020000000019</v>
      </c>
      <c r="M158" s="209">
        <f t="shared" si="48"/>
        <v>389.45734230045014</v>
      </c>
      <c r="N158" s="210">
        <f t="shared" si="49"/>
        <v>11952.477342300468</v>
      </c>
      <c r="O158" s="209">
        <v>0</v>
      </c>
      <c r="P158" s="209">
        <v>0</v>
      </c>
      <c r="Q158" s="209">
        <v>0</v>
      </c>
      <c r="R158" s="210">
        <f t="shared" si="50"/>
        <v>11952.477342300468</v>
      </c>
    </row>
    <row r="159" spans="1:19" x14ac:dyDescent="0.25">
      <c r="A159" s="162">
        <v>8</v>
      </c>
      <c r="B159" s="201">
        <f t="shared" si="45"/>
        <v>44044</v>
      </c>
      <c r="C159" s="225">
        <f t="shared" si="51"/>
        <v>44077</v>
      </c>
      <c r="D159" s="225">
        <f t="shared" si="51"/>
        <v>44098</v>
      </c>
      <c r="E159" s="233" t="s">
        <v>54</v>
      </c>
      <c r="F159" s="125">
        <v>9</v>
      </c>
      <c r="G159" s="204">
        <v>152</v>
      </c>
      <c r="H159" s="205">
        <f t="shared" si="46"/>
        <v>1093.1099999999999</v>
      </c>
      <c r="I159" s="205">
        <f t="shared" si="44"/>
        <v>1176.9000000000001</v>
      </c>
      <c r="J159" s="206">
        <f t="shared" si="47"/>
        <v>178888.80000000002</v>
      </c>
      <c r="K159" s="213">
        <f t="shared" si="41"/>
        <v>166152.71999999997</v>
      </c>
      <c r="L159" s="212">
        <f t="shared" si="52"/>
        <v>12736.080000000045</v>
      </c>
      <c r="M159" s="209">
        <f t="shared" si="48"/>
        <v>428.96750746136541</v>
      </c>
      <c r="N159" s="210">
        <f t="shared" si="49"/>
        <v>13165.047507461411</v>
      </c>
      <c r="O159" s="209">
        <v>0</v>
      </c>
      <c r="P159" s="209">
        <v>0</v>
      </c>
      <c r="Q159" s="209">
        <v>0</v>
      </c>
      <c r="R159" s="210">
        <f t="shared" si="50"/>
        <v>13165.047507461411</v>
      </c>
      <c r="S159" s="52"/>
    </row>
    <row r="160" spans="1:19" x14ac:dyDescent="0.25">
      <c r="A160" s="162">
        <v>9</v>
      </c>
      <c r="B160" s="201">
        <f t="shared" si="45"/>
        <v>44075</v>
      </c>
      <c r="C160" s="225">
        <f t="shared" si="51"/>
        <v>44109</v>
      </c>
      <c r="D160" s="225">
        <f t="shared" si="51"/>
        <v>44130</v>
      </c>
      <c r="E160" s="233" t="s">
        <v>54</v>
      </c>
      <c r="F160" s="125">
        <v>9</v>
      </c>
      <c r="G160" s="204">
        <v>136</v>
      </c>
      <c r="H160" s="205">
        <f t="shared" si="46"/>
        <v>1093.1099999999999</v>
      </c>
      <c r="I160" s="205">
        <f t="shared" si="44"/>
        <v>1176.9000000000001</v>
      </c>
      <c r="J160" s="206">
        <f t="shared" si="47"/>
        <v>160058.40000000002</v>
      </c>
      <c r="K160" s="213">
        <f t="shared" si="41"/>
        <v>148662.96</v>
      </c>
      <c r="L160" s="212">
        <f t="shared" si="52"/>
        <v>11395.440000000031</v>
      </c>
      <c r="M160" s="209">
        <f t="shared" si="48"/>
        <v>383.813032991748</v>
      </c>
      <c r="N160" s="210">
        <f t="shared" si="49"/>
        <v>11779.253032991779</v>
      </c>
      <c r="O160" s="209">
        <v>0</v>
      </c>
      <c r="P160" s="209">
        <v>0</v>
      </c>
      <c r="Q160" s="209">
        <v>0</v>
      </c>
      <c r="R160" s="210">
        <f t="shared" si="50"/>
        <v>11779.253032991779</v>
      </c>
    </row>
    <row r="161" spans="1:19" x14ac:dyDescent="0.25">
      <c r="A161" s="125">
        <v>10</v>
      </c>
      <c r="B161" s="201">
        <f t="shared" si="45"/>
        <v>44105</v>
      </c>
      <c r="C161" s="225">
        <f t="shared" si="51"/>
        <v>44139</v>
      </c>
      <c r="D161" s="225">
        <f t="shared" si="51"/>
        <v>44159</v>
      </c>
      <c r="E161" s="233" t="s">
        <v>54</v>
      </c>
      <c r="F161" s="125">
        <v>9</v>
      </c>
      <c r="G161" s="204">
        <v>107</v>
      </c>
      <c r="H161" s="205">
        <f t="shared" si="46"/>
        <v>1093.1099999999999</v>
      </c>
      <c r="I161" s="205">
        <f t="shared" si="44"/>
        <v>1176.9000000000001</v>
      </c>
      <c r="J161" s="206">
        <f t="shared" si="47"/>
        <v>125928.3</v>
      </c>
      <c r="K161" s="213">
        <f t="shared" si="41"/>
        <v>116962.76999999999</v>
      </c>
      <c r="L161" s="212">
        <f t="shared" si="52"/>
        <v>8965.5300000000134</v>
      </c>
      <c r="M161" s="209">
        <f t="shared" si="48"/>
        <v>301.97054801556646</v>
      </c>
      <c r="N161" s="210">
        <f t="shared" si="49"/>
        <v>9267.5005480155796</v>
      </c>
      <c r="O161" s="209">
        <v>0</v>
      </c>
      <c r="P161" s="209">
        <v>0</v>
      </c>
      <c r="Q161" s="209">
        <v>0</v>
      </c>
      <c r="R161" s="210">
        <f t="shared" si="50"/>
        <v>9267.5005480155796</v>
      </c>
    </row>
    <row r="162" spans="1:19" x14ac:dyDescent="0.25">
      <c r="A162" s="162">
        <v>11</v>
      </c>
      <c r="B162" s="201">
        <f t="shared" si="45"/>
        <v>44136</v>
      </c>
      <c r="C162" s="225">
        <f t="shared" si="51"/>
        <v>44168</v>
      </c>
      <c r="D162" s="225">
        <f t="shared" si="51"/>
        <v>44189</v>
      </c>
      <c r="E162" s="233" t="s">
        <v>54</v>
      </c>
      <c r="F162" s="125">
        <v>9</v>
      </c>
      <c r="G162" s="204">
        <v>95</v>
      </c>
      <c r="H162" s="205">
        <f t="shared" si="46"/>
        <v>1093.1099999999999</v>
      </c>
      <c r="I162" s="205">
        <f t="shared" si="44"/>
        <v>1176.9000000000001</v>
      </c>
      <c r="J162" s="206">
        <f t="shared" si="47"/>
        <v>111805.50000000001</v>
      </c>
      <c r="K162" s="213">
        <f t="shared" si="41"/>
        <v>103845.45</v>
      </c>
      <c r="L162" s="212">
        <f t="shared" si="52"/>
        <v>7960.0500000000175</v>
      </c>
      <c r="M162" s="209">
        <f t="shared" si="48"/>
        <v>268.10469216335332</v>
      </c>
      <c r="N162" s="210">
        <f t="shared" si="49"/>
        <v>8228.1546921633708</v>
      </c>
      <c r="O162" s="209">
        <v>0</v>
      </c>
      <c r="P162" s="209">
        <v>0</v>
      </c>
      <c r="Q162" s="209">
        <v>0</v>
      </c>
      <c r="R162" s="210">
        <f t="shared" si="50"/>
        <v>8228.1546921633708</v>
      </c>
    </row>
    <row r="163" spans="1:19" s="229" customFormat="1" x14ac:dyDescent="0.25">
      <c r="A163" s="162">
        <v>12</v>
      </c>
      <c r="B163" s="227">
        <f t="shared" si="45"/>
        <v>44166</v>
      </c>
      <c r="C163" s="225">
        <f t="shared" si="51"/>
        <v>44202</v>
      </c>
      <c r="D163" s="225">
        <f t="shared" si="51"/>
        <v>44221</v>
      </c>
      <c r="E163" s="234" t="s">
        <v>54</v>
      </c>
      <c r="F163" s="173">
        <v>9</v>
      </c>
      <c r="G163" s="216">
        <v>99</v>
      </c>
      <c r="H163" s="217">
        <f t="shared" si="46"/>
        <v>1093.1099999999999</v>
      </c>
      <c r="I163" s="217">
        <f t="shared" si="44"/>
        <v>1176.9000000000001</v>
      </c>
      <c r="J163" s="218">
        <f t="shared" si="47"/>
        <v>116513.1</v>
      </c>
      <c r="K163" s="219">
        <f t="shared" si="41"/>
        <v>108217.88999999998</v>
      </c>
      <c r="L163" s="220">
        <f t="shared" si="52"/>
        <v>8295.210000000021</v>
      </c>
      <c r="M163" s="209">
        <f t="shared" si="48"/>
        <v>279.3933107807577</v>
      </c>
      <c r="N163" s="210">
        <f t="shared" si="49"/>
        <v>8574.603310780778</v>
      </c>
      <c r="O163" s="209">
        <v>0</v>
      </c>
      <c r="P163" s="209">
        <v>0</v>
      </c>
      <c r="Q163" s="209">
        <v>0</v>
      </c>
      <c r="R163" s="210">
        <f t="shared" si="50"/>
        <v>8574.603310780778</v>
      </c>
    </row>
    <row r="164" spans="1:19" x14ac:dyDescent="0.25">
      <c r="A164" s="125">
        <v>1</v>
      </c>
      <c r="B164" s="201">
        <f t="shared" si="45"/>
        <v>43831</v>
      </c>
      <c r="C164" s="222">
        <f t="shared" si="51"/>
        <v>43866</v>
      </c>
      <c r="D164" s="222">
        <f t="shared" si="51"/>
        <v>43885</v>
      </c>
      <c r="E164" s="232" t="s">
        <v>55</v>
      </c>
      <c r="F164" s="125">
        <v>9</v>
      </c>
      <c r="G164" s="204">
        <v>11</v>
      </c>
      <c r="H164" s="205">
        <f t="shared" si="46"/>
        <v>1093.1099999999999</v>
      </c>
      <c r="I164" s="205">
        <f t="shared" si="44"/>
        <v>1176.9000000000001</v>
      </c>
      <c r="J164" s="206">
        <f t="shared" si="47"/>
        <v>12945.900000000001</v>
      </c>
      <c r="K164" s="207">
        <f t="shared" si="41"/>
        <v>12024.21</v>
      </c>
      <c r="L164" s="208">
        <f t="shared" si="52"/>
        <v>921.69000000000233</v>
      </c>
      <c r="M164" s="209">
        <f t="shared" si="48"/>
        <v>31.043701197861971</v>
      </c>
      <c r="N164" s="210">
        <f t="shared" si="49"/>
        <v>952.73370119786432</v>
      </c>
      <c r="O164" s="209">
        <v>0</v>
      </c>
      <c r="P164" s="209">
        <v>0</v>
      </c>
      <c r="Q164" s="209">
        <v>0</v>
      </c>
      <c r="R164" s="210">
        <f t="shared" si="50"/>
        <v>952.73370119786432</v>
      </c>
    </row>
    <row r="165" spans="1:19" x14ac:dyDescent="0.25">
      <c r="A165" s="162">
        <v>2</v>
      </c>
      <c r="B165" s="201">
        <f t="shared" si="45"/>
        <v>43862</v>
      </c>
      <c r="C165" s="225">
        <f t="shared" si="51"/>
        <v>43894</v>
      </c>
      <c r="D165" s="225">
        <f t="shared" si="51"/>
        <v>43914</v>
      </c>
      <c r="E165" s="233" t="s">
        <v>55</v>
      </c>
      <c r="F165" s="162">
        <v>9</v>
      </c>
      <c r="G165" s="204">
        <v>10</v>
      </c>
      <c r="H165" s="205">
        <f t="shared" si="46"/>
        <v>1093.1099999999999</v>
      </c>
      <c r="I165" s="205">
        <f t="shared" si="44"/>
        <v>1176.9000000000001</v>
      </c>
      <c r="J165" s="206">
        <f t="shared" si="47"/>
        <v>11769</v>
      </c>
      <c r="K165" s="207">
        <f t="shared" si="41"/>
        <v>10931.099999999999</v>
      </c>
      <c r="L165" s="208">
        <f t="shared" si="52"/>
        <v>837.90000000000146</v>
      </c>
      <c r="M165" s="209">
        <f t="shared" si="48"/>
        <v>28.221546543510883</v>
      </c>
      <c r="N165" s="210">
        <f t="shared" si="49"/>
        <v>866.1215465435123</v>
      </c>
      <c r="O165" s="209">
        <v>0</v>
      </c>
      <c r="P165" s="209">
        <v>0</v>
      </c>
      <c r="Q165" s="209">
        <v>0</v>
      </c>
      <c r="R165" s="210">
        <f t="shared" si="50"/>
        <v>866.1215465435123</v>
      </c>
    </row>
    <row r="166" spans="1:19" x14ac:dyDescent="0.25">
      <c r="A166" s="162">
        <v>3</v>
      </c>
      <c r="B166" s="201">
        <f t="shared" si="45"/>
        <v>43891</v>
      </c>
      <c r="C166" s="225">
        <f t="shared" si="51"/>
        <v>43924</v>
      </c>
      <c r="D166" s="225">
        <f t="shared" si="51"/>
        <v>43945</v>
      </c>
      <c r="E166" s="233" t="s">
        <v>55</v>
      </c>
      <c r="F166" s="162">
        <v>9</v>
      </c>
      <c r="G166" s="204">
        <v>10</v>
      </c>
      <c r="H166" s="205">
        <f t="shared" si="46"/>
        <v>1093.1099999999999</v>
      </c>
      <c r="I166" s="205">
        <f t="shared" si="44"/>
        <v>1176.9000000000001</v>
      </c>
      <c r="J166" s="206">
        <f t="shared" si="47"/>
        <v>11769</v>
      </c>
      <c r="K166" s="207">
        <f t="shared" si="41"/>
        <v>10931.099999999999</v>
      </c>
      <c r="L166" s="208">
        <f>+J166-K166</f>
        <v>837.90000000000146</v>
      </c>
      <c r="M166" s="209">
        <f t="shared" si="48"/>
        <v>28.221546543510883</v>
      </c>
      <c r="N166" s="210">
        <f t="shared" si="49"/>
        <v>866.1215465435123</v>
      </c>
      <c r="O166" s="209">
        <v>0</v>
      </c>
      <c r="P166" s="209">
        <v>0</v>
      </c>
      <c r="Q166" s="209">
        <v>0</v>
      </c>
      <c r="R166" s="210">
        <f t="shared" si="50"/>
        <v>866.1215465435123</v>
      </c>
    </row>
    <row r="167" spans="1:19" x14ac:dyDescent="0.25">
      <c r="A167" s="125">
        <v>4</v>
      </c>
      <c r="B167" s="201">
        <f t="shared" si="45"/>
        <v>43922</v>
      </c>
      <c r="C167" s="225">
        <f t="shared" si="51"/>
        <v>43956</v>
      </c>
      <c r="D167" s="225">
        <f t="shared" si="51"/>
        <v>43976</v>
      </c>
      <c r="E167" s="233" t="s">
        <v>55</v>
      </c>
      <c r="F167" s="162">
        <v>9</v>
      </c>
      <c r="G167" s="204">
        <v>7</v>
      </c>
      <c r="H167" s="205">
        <f t="shared" si="46"/>
        <v>1093.1099999999999</v>
      </c>
      <c r="I167" s="205">
        <f t="shared" si="44"/>
        <v>1176.9000000000001</v>
      </c>
      <c r="J167" s="206">
        <f t="shared" si="47"/>
        <v>8238.3000000000011</v>
      </c>
      <c r="K167" s="207">
        <f t="shared" si="41"/>
        <v>7651.7699999999995</v>
      </c>
      <c r="L167" s="208">
        <f t="shared" ref="L167:L177" si="53">+J167-K167</f>
        <v>586.53000000000156</v>
      </c>
      <c r="M167" s="209">
        <f t="shared" si="48"/>
        <v>19.755082580457614</v>
      </c>
      <c r="N167" s="210">
        <f t="shared" si="49"/>
        <v>606.28508258045918</v>
      </c>
      <c r="O167" s="209">
        <v>0</v>
      </c>
      <c r="P167" s="209">
        <v>0</v>
      </c>
      <c r="Q167" s="209">
        <v>0</v>
      </c>
      <c r="R167" s="210">
        <f t="shared" si="50"/>
        <v>606.28508258045918</v>
      </c>
    </row>
    <row r="168" spans="1:19" x14ac:dyDescent="0.25">
      <c r="A168" s="162">
        <v>5</v>
      </c>
      <c r="B168" s="201">
        <f t="shared" si="45"/>
        <v>43952</v>
      </c>
      <c r="C168" s="225">
        <f t="shared" si="51"/>
        <v>43985</v>
      </c>
      <c r="D168" s="225">
        <f t="shared" si="51"/>
        <v>44006</v>
      </c>
      <c r="E168" s="233" t="s">
        <v>55</v>
      </c>
      <c r="F168" s="162">
        <v>9</v>
      </c>
      <c r="G168" s="204">
        <v>13</v>
      </c>
      <c r="H168" s="205">
        <f t="shared" si="46"/>
        <v>1093.1099999999999</v>
      </c>
      <c r="I168" s="205">
        <f t="shared" si="44"/>
        <v>1176.9000000000001</v>
      </c>
      <c r="J168" s="206">
        <f t="shared" si="47"/>
        <v>15299.7</v>
      </c>
      <c r="K168" s="207">
        <f t="shared" si="41"/>
        <v>14210.429999999998</v>
      </c>
      <c r="L168" s="208">
        <f t="shared" si="53"/>
        <v>1089.2700000000023</v>
      </c>
      <c r="M168" s="209">
        <f t="shared" si="48"/>
        <v>36.688010506564147</v>
      </c>
      <c r="N168" s="210">
        <f t="shared" si="49"/>
        <v>1125.9580105065663</v>
      </c>
      <c r="O168" s="209">
        <v>0</v>
      </c>
      <c r="P168" s="209">
        <v>0</v>
      </c>
      <c r="Q168" s="209">
        <v>0</v>
      </c>
      <c r="R168" s="210">
        <f t="shared" si="50"/>
        <v>1125.9580105065663</v>
      </c>
    </row>
    <row r="169" spans="1:19" x14ac:dyDescent="0.25">
      <c r="A169" s="162">
        <v>6</v>
      </c>
      <c r="B169" s="201">
        <f t="shared" si="45"/>
        <v>43983</v>
      </c>
      <c r="C169" s="225">
        <f t="shared" si="51"/>
        <v>44015</v>
      </c>
      <c r="D169" s="225">
        <f t="shared" si="51"/>
        <v>44036</v>
      </c>
      <c r="E169" s="233" t="s">
        <v>55</v>
      </c>
      <c r="F169" s="162">
        <v>9</v>
      </c>
      <c r="G169" s="204">
        <v>12</v>
      </c>
      <c r="H169" s="205">
        <f t="shared" si="46"/>
        <v>1093.1099999999999</v>
      </c>
      <c r="I169" s="205">
        <f t="shared" si="44"/>
        <v>1176.9000000000001</v>
      </c>
      <c r="J169" s="206">
        <f t="shared" si="47"/>
        <v>14122.800000000001</v>
      </c>
      <c r="K169" s="207">
        <f t="shared" si="41"/>
        <v>13117.32</v>
      </c>
      <c r="L169" s="212">
        <f t="shared" si="53"/>
        <v>1005.4800000000014</v>
      </c>
      <c r="M169" s="209">
        <f t="shared" si="48"/>
        <v>33.865855852213052</v>
      </c>
      <c r="N169" s="210">
        <f t="shared" si="49"/>
        <v>1039.3458558522145</v>
      </c>
      <c r="O169" s="209">
        <v>0</v>
      </c>
      <c r="P169" s="209">
        <v>0</v>
      </c>
      <c r="Q169" s="209">
        <v>0</v>
      </c>
      <c r="R169" s="210">
        <f t="shared" si="50"/>
        <v>1039.3458558522145</v>
      </c>
    </row>
    <row r="170" spans="1:19" x14ac:dyDescent="0.25">
      <c r="A170" s="125">
        <v>7</v>
      </c>
      <c r="B170" s="201">
        <f t="shared" si="45"/>
        <v>44013</v>
      </c>
      <c r="C170" s="225">
        <f t="shared" si="51"/>
        <v>44048</v>
      </c>
      <c r="D170" s="225">
        <f t="shared" si="51"/>
        <v>44067</v>
      </c>
      <c r="E170" s="233" t="s">
        <v>55</v>
      </c>
      <c r="F170" s="162">
        <v>9</v>
      </c>
      <c r="G170" s="204">
        <v>15</v>
      </c>
      <c r="H170" s="205">
        <f t="shared" si="46"/>
        <v>1093.1099999999999</v>
      </c>
      <c r="I170" s="205">
        <f t="shared" si="44"/>
        <v>1176.9000000000001</v>
      </c>
      <c r="J170" s="206">
        <f t="shared" si="47"/>
        <v>17653.5</v>
      </c>
      <c r="K170" s="213">
        <f t="shared" si="41"/>
        <v>16396.649999999998</v>
      </c>
      <c r="L170" s="212">
        <f t="shared" si="53"/>
        <v>1256.8500000000022</v>
      </c>
      <c r="M170" s="209">
        <f t="shared" si="48"/>
        <v>42.332319815266324</v>
      </c>
      <c r="N170" s="210">
        <f t="shared" si="49"/>
        <v>1299.1823198152686</v>
      </c>
      <c r="O170" s="209">
        <v>0</v>
      </c>
      <c r="P170" s="209">
        <v>0</v>
      </c>
      <c r="Q170" s="209">
        <v>0</v>
      </c>
      <c r="R170" s="210">
        <f t="shared" si="50"/>
        <v>1299.1823198152686</v>
      </c>
    </row>
    <row r="171" spans="1:19" x14ac:dyDescent="0.25">
      <c r="A171" s="162">
        <v>8</v>
      </c>
      <c r="B171" s="201">
        <f t="shared" si="45"/>
        <v>44044</v>
      </c>
      <c r="C171" s="225">
        <f t="shared" si="51"/>
        <v>44077</v>
      </c>
      <c r="D171" s="225">
        <f t="shared" si="51"/>
        <v>44098</v>
      </c>
      <c r="E171" s="233" t="s">
        <v>55</v>
      </c>
      <c r="F171" s="125">
        <v>9</v>
      </c>
      <c r="G171" s="204">
        <v>12</v>
      </c>
      <c r="H171" s="205">
        <f t="shared" si="46"/>
        <v>1093.1099999999999</v>
      </c>
      <c r="I171" s="205">
        <f t="shared" si="44"/>
        <v>1176.9000000000001</v>
      </c>
      <c r="J171" s="206">
        <f t="shared" si="47"/>
        <v>14122.800000000001</v>
      </c>
      <c r="K171" s="213">
        <f t="shared" si="41"/>
        <v>13117.32</v>
      </c>
      <c r="L171" s="212">
        <f t="shared" si="53"/>
        <v>1005.4800000000014</v>
      </c>
      <c r="M171" s="209">
        <f t="shared" si="48"/>
        <v>33.865855852213052</v>
      </c>
      <c r="N171" s="210">
        <f t="shared" si="49"/>
        <v>1039.3458558522145</v>
      </c>
      <c r="O171" s="209">
        <v>0</v>
      </c>
      <c r="P171" s="209">
        <v>0</v>
      </c>
      <c r="Q171" s="209">
        <v>0</v>
      </c>
      <c r="R171" s="210">
        <f t="shared" si="50"/>
        <v>1039.3458558522145</v>
      </c>
      <c r="S171" s="52"/>
    </row>
    <row r="172" spans="1:19" x14ac:dyDescent="0.25">
      <c r="A172" s="162">
        <v>9</v>
      </c>
      <c r="B172" s="201">
        <f t="shared" si="45"/>
        <v>44075</v>
      </c>
      <c r="C172" s="225">
        <f t="shared" ref="C172:D175" si="54">+C160</f>
        <v>44109</v>
      </c>
      <c r="D172" s="225">
        <f t="shared" si="54"/>
        <v>44130</v>
      </c>
      <c r="E172" s="233" t="s">
        <v>55</v>
      </c>
      <c r="F172" s="125">
        <v>9</v>
      </c>
      <c r="G172" s="204">
        <v>14</v>
      </c>
      <c r="H172" s="205">
        <f t="shared" si="46"/>
        <v>1093.1099999999999</v>
      </c>
      <c r="I172" s="205">
        <f t="shared" si="44"/>
        <v>1176.9000000000001</v>
      </c>
      <c r="J172" s="206">
        <f t="shared" si="47"/>
        <v>16476.600000000002</v>
      </c>
      <c r="K172" s="213">
        <f t="shared" si="41"/>
        <v>15303.539999999999</v>
      </c>
      <c r="L172" s="212">
        <f t="shared" si="53"/>
        <v>1173.0600000000031</v>
      </c>
      <c r="M172" s="209">
        <f t="shared" si="48"/>
        <v>39.510165160915228</v>
      </c>
      <c r="N172" s="210">
        <f t="shared" si="49"/>
        <v>1212.5701651609184</v>
      </c>
      <c r="O172" s="209">
        <v>0</v>
      </c>
      <c r="P172" s="209">
        <v>0</v>
      </c>
      <c r="Q172" s="209">
        <v>0</v>
      </c>
      <c r="R172" s="210">
        <f t="shared" si="50"/>
        <v>1212.5701651609184</v>
      </c>
    </row>
    <row r="173" spans="1:19" x14ac:dyDescent="0.25">
      <c r="A173" s="125">
        <v>10</v>
      </c>
      <c r="B173" s="201">
        <f t="shared" si="45"/>
        <v>44105</v>
      </c>
      <c r="C173" s="225">
        <f t="shared" si="54"/>
        <v>44139</v>
      </c>
      <c r="D173" s="225">
        <f t="shared" si="54"/>
        <v>44159</v>
      </c>
      <c r="E173" s="233" t="s">
        <v>55</v>
      </c>
      <c r="F173" s="125">
        <v>9</v>
      </c>
      <c r="G173" s="204">
        <v>11</v>
      </c>
      <c r="H173" s="205">
        <f t="shared" si="46"/>
        <v>1093.1099999999999</v>
      </c>
      <c r="I173" s="205">
        <f t="shared" si="44"/>
        <v>1176.9000000000001</v>
      </c>
      <c r="J173" s="206">
        <f t="shared" si="47"/>
        <v>12945.900000000001</v>
      </c>
      <c r="K173" s="213">
        <f t="shared" si="41"/>
        <v>12024.21</v>
      </c>
      <c r="L173" s="212">
        <f t="shared" si="53"/>
        <v>921.69000000000233</v>
      </c>
      <c r="M173" s="209">
        <f t="shared" si="48"/>
        <v>31.043701197861971</v>
      </c>
      <c r="N173" s="210">
        <f t="shared" si="49"/>
        <v>952.73370119786432</v>
      </c>
      <c r="O173" s="209">
        <v>0</v>
      </c>
      <c r="P173" s="209">
        <v>0</v>
      </c>
      <c r="Q173" s="209">
        <v>0</v>
      </c>
      <c r="R173" s="210">
        <f t="shared" si="50"/>
        <v>952.73370119786432</v>
      </c>
    </row>
    <row r="174" spans="1:19" x14ac:dyDescent="0.25">
      <c r="A174" s="162">
        <v>11</v>
      </c>
      <c r="B174" s="201">
        <f t="shared" si="45"/>
        <v>44136</v>
      </c>
      <c r="C174" s="225">
        <f t="shared" si="54"/>
        <v>44168</v>
      </c>
      <c r="D174" s="225">
        <f t="shared" si="54"/>
        <v>44189</v>
      </c>
      <c r="E174" s="233" t="s">
        <v>55</v>
      </c>
      <c r="F174" s="125">
        <v>9</v>
      </c>
      <c r="G174" s="204">
        <v>9</v>
      </c>
      <c r="H174" s="205">
        <f t="shared" si="46"/>
        <v>1093.1099999999999</v>
      </c>
      <c r="I174" s="205">
        <f t="shared" si="44"/>
        <v>1176.9000000000001</v>
      </c>
      <c r="J174" s="206">
        <f t="shared" si="47"/>
        <v>10592.1</v>
      </c>
      <c r="K174" s="213">
        <f t="shared" si="41"/>
        <v>9837.99</v>
      </c>
      <c r="L174" s="212">
        <f t="shared" si="53"/>
        <v>754.11000000000058</v>
      </c>
      <c r="M174" s="209">
        <f t="shared" si="48"/>
        <v>25.399391889159794</v>
      </c>
      <c r="N174" s="210">
        <f t="shared" si="49"/>
        <v>779.50939188916038</v>
      </c>
      <c r="O174" s="209">
        <v>0</v>
      </c>
      <c r="P174" s="209">
        <v>0</v>
      </c>
      <c r="Q174" s="209">
        <v>0</v>
      </c>
      <c r="R174" s="210">
        <f t="shared" si="50"/>
        <v>779.50939188916038</v>
      </c>
    </row>
    <row r="175" spans="1:19" s="229" customFormat="1" x14ac:dyDescent="0.25">
      <c r="A175" s="162">
        <v>12</v>
      </c>
      <c r="B175" s="227">
        <f t="shared" si="45"/>
        <v>44166</v>
      </c>
      <c r="C175" s="225">
        <f t="shared" si="54"/>
        <v>44202</v>
      </c>
      <c r="D175" s="225">
        <f t="shared" si="54"/>
        <v>44221</v>
      </c>
      <c r="E175" s="234" t="s">
        <v>55</v>
      </c>
      <c r="F175" s="173">
        <v>9</v>
      </c>
      <c r="G175" s="216">
        <v>8</v>
      </c>
      <c r="H175" s="217">
        <f t="shared" si="46"/>
        <v>1093.1099999999999</v>
      </c>
      <c r="I175" s="217">
        <f t="shared" si="44"/>
        <v>1176.9000000000001</v>
      </c>
      <c r="J175" s="218">
        <f t="shared" si="47"/>
        <v>9415.2000000000007</v>
      </c>
      <c r="K175" s="219">
        <f t="shared" si="41"/>
        <v>8744.8799999999992</v>
      </c>
      <c r="L175" s="220">
        <f t="shared" si="53"/>
        <v>670.32000000000153</v>
      </c>
      <c r="M175" s="209">
        <f t="shared" si="48"/>
        <v>22.577237234808702</v>
      </c>
      <c r="N175" s="210">
        <f t="shared" si="49"/>
        <v>692.89723723481018</v>
      </c>
      <c r="O175" s="209">
        <v>0</v>
      </c>
      <c r="P175" s="209">
        <v>0</v>
      </c>
      <c r="Q175" s="209">
        <v>0</v>
      </c>
      <c r="R175" s="210">
        <f t="shared" si="50"/>
        <v>692.89723723481018</v>
      </c>
    </row>
    <row r="176" spans="1:19" x14ac:dyDescent="0.25">
      <c r="A176" s="125">
        <v>1</v>
      </c>
      <c r="B176" s="201">
        <f t="shared" si="45"/>
        <v>43831</v>
      </c>
      <c r="C176" s="222">
        <f t="shared" ref="C176:D187" si="55">+C152</f>
        <v>43866</v>
      </c>
      <c r="D176" s="222">
        <f t="shared" si="55"/>
        <v>43885</v>
      </c>
      <c r="E176" s="232" t="s">
        <v>56</v>
      </c>
      <c r="F176" s="162">
        <v>9</v>
      </c>
      <c r="G176" s="204">
        <v>20</v>
      </c>
      <c r="H176" s="205">
        <f t="shared" si="46"/>
        <v>1093.1099999999999</v>
      </c>
      <c r="I176" s="205">
        <f t="shared" si="44"/>
        <v>1176.9000000000001</v>
      </c>
      <c r="J176" s="206">
        <f t="shared" si="47"/>
        <v>23538</v>
      </c>
      <c r="K176" s="207">
        <f t="shared" si="41"/>
        <v>21862.199999999997</v>
      </c>
      <c r="L176" s="208">
        <f t="shared" si="53"/>
        <v>1675.8000000000029</v>
      </c>
      <c r="M176" s="209">
        <f t="shared" si="48"/>
        <v>56.443093087021765</v>
      </c>
      <c r="N176" s="210">
        <f t="shared" si="49"/>
        <v>1732.2430930870246</v>
      </c>
      <c r="O176" s="209">
        <v>0</v>
      </c>
      <c r="P176" s="209">
        <v>0</v>
      </c>
      <c r="Q176" s="209">
        <v>0</v>
      </c>
      <c r="R176" s="210">
        <f t="shared" si="50"/>
        <v>1732.2430930870246</v>
      </c>
    </row>
    <row r="177" spans="1:18" x14ac:dyDescent="0.25">
      <c r="A177" s="162">
        <v>2</v>
      </c>
      <c r="B177" s="201">
        <f t="shared" si="45"/>
        <v>43862</v>
      </c>
      <c r="C177" s="225">
        <f t="shared" si="55"/>
        <v>43894</v>
      </c>
      <c r="D177" s="225">
        <f t="shared" si="55"/>
        <v>43914</v>
      </c>
      <c r="E177" s="54" t="s">
        <v>56</v>
      </c>
      <c r="F177" s="162">
        <v>9</v>
      </c>
      <c r="G177" s="204">
        <v>19</v>
      </c>
      <c r="H177" s="205">
        <f t="shared" si="46"/>
        <v>1093.1099999999999</v>
      </c>
      <c r="I177" s="205">
        <f t="shared" si="44"/>
        <v>1176.9000000000001</v>
      </c>
      <c r="J177" s="206">
        <f t="shared" si="47"/>
        <v>22361.100000000002</v>
      </c>
      <c r="K177" s="207">
        <f t="shared" si="41"/>
        <v>20769.089999999997</v>
      </c>
      <c r="L177" s="208">
        <f t="shared" si="53"/>
        <v>1592.0100000000057</v>
      </c>
      <c r="M177" s="209">
        <f t="shared" si="48"/>
        <v>53.620938432670677</v>
      </c>
      <c r="N177" s="210">
        <f t="shared" si="49"/>
        <v>1645.6309384326764</v>
      </c>
      <c r="O177" s="209">
        <v>0</v>
      </c>
      <c r="P177" s="209">
        <v>0</v>
      </c>
      <c r="Q177" s="209">
        <v>0</v>
      </c>
      <c r="R177" s="210">
        <f t="shared" si="50"/>
        <v>1645.6309384326764</v>
      </c>
    </row>
    <row r="178" spans="1:18" x14ac:dyDescent="0.25">
      <c r="A178" s="162">
        <v>3</v>
      </c>
      <c r="B178" s="201">
        <f t="shared" si="45"/>
        <v>43891</v>
      </c>
      <c r="C178" s="225">
        <f t="shared" si="55"/>
        <v>43924</v>
      </c>
      <c r="D178" s="225">
        <f t="shared" si="55"/>
        <v>43945</v>
      </c>
      <c r="E178" s="54" t="s">
        <v>56</v>
      </c>
      <c r="F178" s="162">
        <v>9</v>
      </c>
      <c r="G178" s="204">
        <v>19</v>
      </c>
      <c r="H178" s="205">
        <f t="shared" si="46"/>
        <v>1093.1099999999999</v>
      </c>
      <c r="I178" s="205">
        <f t="shared" si="44"/>
        <v>1176.9000000000001</v>
      </c>
      <c r="J178" s="206">
        <f t="shared" si="47"/>
        <v>22361.100000000002</v>
      </c>
      <c r="K178" s="207">
        <f t="shared" si="41"/>
        <v>20769.089999999997</v>
      </c>
      <c r="L178" s="208">
        <f>+J178-K178</f>
        <v>1592.0100000000057</v>
      </c>
      <c r="M178" s="209">
        <f t="shared" si="48"/>
        <v>53.620938432670677</v>
      </c>
      <c r="N178" s="210">
        <f t="shared" si="49"/>
        <v>1645.6309384326764</v>
      </c>
      <c r="O178" s="209">
        <v>0</v>
      </c>
      <c r="P178" s="209">
        <v>0</v>
      </c>
      <c r="Q178" s="209">
        <v>0</v>
      </c>
      <c r="R178" s="210">
        <f t="shared" si="50"/>
        <v>1645.6309384326764</v>
      </c>
    </row>
    <row r="179" spans="1:18" x14ac:dyDescent="0.25">
      <c r="A179" s="125">
        <v>4</v>
      </c>
      <c r="B179" s="201">
        <f t="shared" si="45"/>
        <v>43922</v>
      </c>
      <c r="C179" s="225">
        <f t="shared" si="55"/>
        <v>43956</v>
      </c>
      <c r="D179" s="225">
        <f t="shared" si="55"/>
        <v>43976</v>
      </c>
      <c r="E179" s="54" t="s">
        <v>56</v>
      </c>
      <c r="F179" s="162">
        <v>9</v>
      </c>
      <c r="G179" s="204">
        <v>21</v>
      </c>
      <c r="H179" s="205">
        <f t="shared" si="46"/>
        <v>1093.1099999999999</v>
      </c>
      <c r="I179" s="205">
        <f t="shared" si="44"/>
        <v>1176.9000000000001</v>
      </c>
      <c r="J179" s="206">
        <f t="shared" si="47"/>
        <v>24714.9</v>
      </c>
      <c r="K179" s="207">
        <f t="shared" si="41"/>
        <v>22955.309999999998</v>
      </c>
      <c r="L179" s="208">
        <f t="shared" ref="L179:L189" si="56">+J179-K179</f>
        <v>1759.5900000000038</v>
      </c>
      <c r="M179" s="209">
        <f t="shared" si="48"/>
        <v>59.265247741372846</v>
      </c>
      <c r="N179" s="210">
        <f t="shared" si="49"/>
        <v>1818.8552477413766</v>
      </c>
      <c r="O179" s="209">
        <v>0</v>
      </c>
      <c r="P179" s="209">
        <v>0</v>
      </c>
      <c r="Q179" s="209">
        <v>0</v>
      </c>
      <c r="R179" s="210">
        <f t="shared" si="50"/>
        <v>1818.8552477413766</v>
      </c>
    </row>
    <row r="180" spans="1:18" x14ac:dyDescent="0.25">
      <c r="A180" s="162">
        <v>5</v>
      </c>
      <c r="B180" s="201">
        <f t="shared" si="45"/>
        <v>43952</v>
      </c>
      <c r="C180" s="225">
        <f t="shared" si="55"/>
        <v>43985</v>
      </c>
      <c r="D180" s="225">
        <f t="shared" si="55"/>
        <v>44006</v>
      </c>
      <c r="E180" s="54" t="s">
        <v>56</v>
      </c>
      <c r="F180" s="162">
        <v>9</v>
      </c>
      <c r="G180" s="204">
        <v>23</v>
      </c>
      <c r="H180" s="205">
        <f t="shared" si="46"/>
        <v>1093.1099999999999</v>
      </c>
      <c r="I180" s="205">
        <f t="shared" ref="I180:I211" si="57">$J$3</f>
        <v>1176.9000000000001</v>
      </c>
      <c r="J180" s="206">
        <f t="shared" si="47"/>
        <v>27068.7</v>
      </c>
      <c r="K180" s="207">
        <f t="shared" si="41"/>
        <v>25141.53</v>
      </c>
      <c r="L180" s="208">
        <f t="shared" si="56"/>
        <v>1927.1700000000019</v>
      </c>
      <c r="M180" s="209">
        <f t="shared" si="48"/>
        <v>64.909557050075023</v>
      </c>
      <c r="N180" s="210">
        <f t="shared" si="49"/>
        <v>1992.0795570500768</v>
      </c>
      <c r="O180" s="209">
        <v>0</v>
      </c>
      <c r="P180" s="209">
        <v>0</v>
      </c>
      <c r="Q180" s="209">
        <v>0</v>
      </c>
      <c r="R180" s="210">
        <f t="shared" si="50"/>
        <v>1992.0795570500768</v>
      </c>
    </row>
    <row r="181" spans="1:18" x14ac:dyDescent="0.25">
      <c r="A181" s="162">
        <v>6</v>
      </c>
      <c r="B181" s="201">
        <f t="shared" si="45"/>
        <v>43983</v>
      </c>
      <c r="C181" s="225">
        <f t="shared" si="55"/>
        <v>44015</v>
      </c>
      <c r="D181" s="225">
        <f t="shared" si="55"/>
        <v>44036</v>
      </c>
      <c r="E181" s="54" t="s">
        <v>56</v>
      </c>
      <c r="F181" s="162">
        <v>9</v>
      </c>
      <c r="G181" s="204">
        <v>29</v>
      </c>
      <c r="H181" s="205">
        <f t="shared" si="46"/>
        <v>1093.1099999999999</v>
      </c>
      <c r="I181" s="205">
        <f t="shared" si="57"/>
        <v>1176.9000000000001</v>
      </c>
      <c r="J181" s="206">
        <f t="shared" si="47"/>
        <v>34130.100000000006</v>
      </c>
      <c r="K181" s="207">
        <f t="shared" si="41"/>
        <v>31700.19</v>
      </c>
      <c r="L181" s="212">
        <f t="shared" si="56"/>
        <v>2429.9100000000071</v>
      </c>
      <c r="M181" s="209">
        <f t="shared" si="48"/>
        <v>81.842484976181552</v>
      </c>
      <c r="N181" s="210">
        <f t="shared" si="49"/>
        <v>2511.7524849761885</v>
      </c>
      <c r="O181" s="209">
        <v>0</v>
      </c>
      <c r="P181" s="209">
        <v>0</v>
      </c>
      <c r="Q181" s="209">
        <v>0</v>
      </c>
      <c r="R181" s="210">
        <f t="shared" si="50"/>
        <v>2511.7524849761885</v>
      </c>
    </row>
    <row r="182" spans="1:18" x14ac:dyDescent="0.25">
      <c r="A182" s="125">
        <v>7</v>
      </c>
      <c r="B182" s="201">
        <f t="shared" si="45"/>
        <v>44013</v>
      </c>
      <c r="C182" s="225">
        <f t="shared" si="55"/>
        <v>44048</v>
      </c>
      <c r="D182" s="225">
        <f t="shared" si="55"/>
        <v>44067</v>
      </c>
      <c r="E182" s="54" t="s">
        <v>56</v>
      </c>
      <c r="F182" s="162">
        <v>9</v>
      </c>
      <c r="G182" s="204">
        <v>33</v>
      </c>
      <c r="H182" s="205">
        <f t="shared" si="46"/>
        <v>1093.1099999999999</v>
      </c>
      <c r="I182" s="205">
        <f t="shared" si="57"/>
        <v>1176.9000000000001</v>
      </c>
      <c r="J182" s="206">
        <f t="shared" si="47"/>
        <v>38837.700000000004</v>
      </c>
      <c r="K182" s="213">
        <f t="shared" si="41"/>
        <v>36072.629999999997</v>
      </c>
      <c r="L182" s="212">
        <f t="shared" si="56"/>
        <v>2765.070000000007</v>
      </c>
      <c r="M182" s="209">
        <f t="shared" si="48"/>
        <v>93.131103593585905</v>
      </c>
      <c r="N182" s="210">
        <f t="shared" si="49"/>
        <v>2858.201103593593</v>
      </c>
      <c r="O182" s="209">
        <v>0</v>
      </c>
      <c r="P182" s="209">
        <v>0</v>
      </c>
      <c r="Q182" s="209">
        <v>0</v>
      </c>
      <c r="R182" s="210">
        <f t="shared" si="50"/>
        <v>2858.201103593593</v>
      </c>
    </row>
    <row r="183" spans="1:18" x14ac:dyDescent="0.25">
      <c r="A183" s="162">
        <v>8</v>
      </c>
      <c r="B183" s="201">
        <f t="shared" si="45"/>
        <v>44044</v>
      </c>
      <c r="C183" s="225">
        <f t="shared" si="55"/>
        <v>44077</v>
      </c>
      <c r="D183" s="225">
        <f t="shared" si="55"/>
        <v>44098</v>
      </c>
      <c r="E183" s="54" t="s">
        <v>56</v>
      </c>
      <c r="F183" s="162">
        <v>9</v>
      </c>
      <c r="G183" s="204">
        <v>34</v>
      </c>
      <c r="H183" s="205">
        <f t="shared" si="46"/>
        <v>1093.1099999999999</v>
      </c>
      <c r="I183" s="205">
        <f t="shared" si="57"/>
        <v>1176.9000000000001</v>
      </c>
      <c r="J183" s="206">
        <f t="shared" si="47"/>
        <v>40014.600000000006</v>
      </c>
      <c r="K183" s="213">
        <f t="shared" si="41"/>
        <v>37165.74</v>
      </c>
      <c r="L183" s="212">
        <f t="shared" si="56"/>
        <v>2848.8600000000079</v>
      </c>
      <c r="M183" s="209">
        <f t="shared" si="48"/>
        <v>95.953258247937001</v>
      </c>
      <c r="N183" s="210">
        <f t="shared" si="49"/>
        <v>2944.8132582479448</v>
      </c>
      <c r="O183" s="209">
        <v>0</v>
      </c>
      <c r="P183" s="209">
        <v>0</v>
      </c>
      <c r="Q183" s="209">
        <v>0</v>
      </c>
      <c r="R183" s="210">
        <f t="shared" si="50"/>
        <v>2944.8132582479448</v>
      </c>
    </row>
    <row r="184" spans="1:18" x14ac:dyDescent="0.25">
      <c r="A184" s="162">
        <v>9</v>
      </c>
      <c r="B184" s="201">
        <f t="shared" si="45"/>
        <v>44075</v>
      </c>
      <c r="C184" s="225">
        <f t="shared" si="55"/>
        <v>44109</v>
      </c>
      <c r="D184" s="225">
        <f t="shared" si="55"/>
        <v>44130</v>
      </c>
      <c r="E184" s="54" t="s">
        <v>56</v>
      </c>
      <c r="F184" s="162">
        <v>9</v>
      </c>
      <c r="G184" s="204">
        <v>30</v>
      </c>
      <c r="H184" s="205">
        <f t="shared" si="46"/>
        <v>1093.1099999999999</v>
      </c>
      <c r="I184" s="205">
        <f t="shared" si="57"/>
        <v>1176.9000000000001</v>
      </c>
      <c r="J184" s="206">
        <f t="shared" si="47"/>
        <v>35307</v>
      </c>
      <c r="K184" s="213">
        <f t="shared" si="41"/>
        <v>32793.299999999996</v>
      </c>
      <c r="L184" s="212">
        <f t="shared" si="56"/>
        <v>2513.7000000000044</v>
      </c>
      <c r="M184" s="209">
        <f t="shared" si="48"/>
        <v>84.664639630532648</v>
      </c>
      <c r="N184" s="210">
        <f t="shared" si="49"/>
        <v>2598.3646396305371</v>
      </c>
      <c r="O184" s="209">
        <v>0</v>
      </c>
      <c r="P184" s="209">
        <v>0</v>
      </c>
      <c r="Q184" s="209">
        <v>0</v>
      </c>
      <c r="R184" s="210">
        <f t="shared" si="50"/>
        <v>2598.3646396305371</v>
      </c>
    </row>
    <row r="185" spans="1:18" x14ac:dyDescent="0.25">
      <c r="A185" s="125">
        <v>10</v>
      </c>
      <c r="B185" s="201">
        <f t="shared" si="45"/>
        <v>44105</v>
      </c>
      <c r="C185" s="225">
        <f t="shared" si="55"/>
        <v>44139</v>
      </c>
      <c r="D185" s="225">
        <f t="shared" si="55"/>
        <v>44159</v>
      </c>
      <c r="E185" s="54" t="s">
        <v>56</v>
      </c>
      <c r="F185" s="162">
        <v>9</v>
      </c>
      <c r="G185" s="204">
        <v>21</v>
      </c>
      <c r="H185" s="205">
        <f t="shared" si="46"/>
        <v>1093.1099999999999</v>
      </c>
      <c r="I185" s="205">
        <f t="shared" si="57"/>
        <v>1176.9000000000001</v>
      </c>
      <c r="J185" s="206">
        <f t="shared" si="47"/>
        <v>24714.9</v>
      </c>
      <c r="K185" s="213">
        <f t="shared" si="41"/>
        <v>22955.309999999998</v>
      </c>
      <c r="L185" s="212">
        <f t="shared" si="56"/>
        <v>1759.5900000000038</v>
      </c>
      <c r="M185" s="209">
        <f t="shared" si="48"/>
        <v>59.265247741372846</v>
      </c>
      <c r="N185" s="210">
        <f t="shared" si="49"/>
        <v>1818.8552477413766</v>
      </c>
      <c r="O185" s="209">
        <v>0</v>
      </c>
      <c r="P185" s="209">
        <v>0</v>
      </c>
      <c r="Q185" s="209">
        <v>0</v>
      </c>
      <c r="R185" s="210">
        <f t="shared" si="50"/>
        <v>1818.8552477413766</v>
      </c>
    </row>
    <row r="186" spans="1:18" x14ac:dyDescent="0.25">
      <c r="A186" s="162">
        <v>11</v>
      </c>
      <c r="B186" s="201">
        <f t="shared" si="45"/>
        <v>44136</v>
      </c>
      <c r="C186" s="225">
        <f t="shared" si="55"/>
        <v>44168</v>
      </c>
      <c r="D186" s="225">
        <f t="shared" si="55"/>
        <v>44189</v>
      </c>
      <c r="E186" s="54" t="s">
        <v>56</v>
      </c>
      <c r="F186" s="162">
        <v>9</v>
      </c>
      <c r="G186" s="204">
        <v>16</v>
      </c>
      <c r="H186" s="205">
        <f t="shared" si="46"/>
        <v>1093.1099999999999</v>
      </c>
      <c r="I186" s="205">
        <f t="shared" si="57"/>
        <v>1176.9000000000001</v>
      </c>
      <c r="J186" s="206">
        <f t="shared" si="47"/>
        <v>18830.400000000001</v>
      </c>
      <c r="K186" s="213">
        <f t="shared" si="41"/>
        <v>17489.759999999998</v>
      </c>
      <c r="L186" s="212">
        <f t="shared" si="56"/>
        <v>1340.6400000000031</v>
      </c>
      <c r="M186" s="209">
        <f t="shared" si="48"/>
        <v>45.154474469617405</v>
      </c>
      <c r="N186" s="210">
        <f t="shared" si="49"/>
        <v>1385.7944744696204</v>
      </c>
      <c r="O186" s="209">
        <v>0</v>
      </c>
      <c r="P186" s="209">
        <v>0</v>
      </c>
      <c r="Q186" s="209">
        <v>0</v>
      </c>
      <c r="R186" s="210">
        <f t="shared" si="50"/>
        <v>1385.7944744696204</v>
      </c>
    </row>
    <row r="187" spans="1:18" s="229" customFormat="1" x14ac:dyDescent="0.25">
      <c r="A187" s="162">
        <v>12</v>
      </c>
      <c r="B187" s="227">
        <f t="shared" si="45"/>
        <v>44166</v>
      </c>
      <c r="C187" s="225">
        <f t="shared" si="55"/>
        <v>44202</v>
      </c>
      <c r="D187" s="225">
        <f t="shared" si="55"/>
        <v>44221</v>
      </c>
      <c r="E187" s="228" t="s">
        <v>56</v>
      </c>
      <c r="F187" s="173">
        <v>9</v>
      </c>
      <c r="G187" s="216">
        <v>19</v>
      </c>
      <c r="H187" s="217">
        <f t="shared" si="46"/>
        <v>1093.1099999999999</v>
      </c>
      <c r="I187" s="217">
        <f t="shared" si="57"/>
        <v>1176.9000000000001</v>
      </c>
      <c r="J187" s="218">
        <f t="shared" si="47"/>
        <v>22361.100000000002</v>
      </c>
      <c r="K187" s="219">
        <f t="shared" si="41"/>
        <v>20769.089999999997</v>
      </c>
      <c r="L187" s="220">
        <f t="shared" si="56"/>
        <v>1592.0100000000057</v>
      </c>
      <c r="M187" s="209">
        <f t="shared" si="48"/>
        <v>53.620938432670677</v>
      </c>
      <c r="N187" s="210">
        <f t="shared" si="49"/>
        <v>1645.6309384326764</v>
      </c>
      <c r="O187" s="209">
        <v>0</v>
      </c>
      <c r="P187" s="209">
        <v>0</v>
      </c>
      <c r="Q187" s="209">
        <v>0</v>
      </c>
      <c r="R187" s="210">
        <f t="shared" si="50"/>
        <v>1645.6309384326764</v>
      </c>
    </row>
    <row r="188" spans="1:18" x14ac:dyDescent="0.25">
      <c r="A188" s="125">
        <v>1</v>
      </c>
      <c r="B188" s="201">
        <f t="shared" si="45"/>
        <v>43831</v>
      </c>
      <c r="C188" s="222">
        <f t="shared" ref="C188:D211" si="58">+C176</f>
        <v>43866</v>
      </c>
      <c r="D188" s="222">
        <f t="shared" si="58"/>
        <v>43885</v>
      </c>
      <c r="E188" s="203" t="s">
        <v>57</v>
      </c>
      <c r="F188" s="125">
        <v>9</v>
      </c>
      <c r="G188" s="204">
        <v>35</v>
      </c>
      <c r="H188" s="205">
        <f t="shared" si="46"/>
        <v>1093.1099999999999</v>
      </c>
      <c r="I188" s="205">
        <f t="shared" si="57"/>
        <v>1176.9000000000001</v>
      </c>
      <c r="J188" s="206">
        <f t="shared" si="47"/>
        <v>41191.5</v>
      </c>
      <c r="K188" s="207">
        <f t="shared" si="41"/>
        <v>38258.85</v>
      </c>
      <c r="L188" s="208">
        <f t="shared" si="56"/>
        <v>2932.6500000000015</v>
      </c>
      <c r="M188" s="209">
        <f t="shared" si="48"/>
        <v>98.775412902288082</v>
      </c>
      <c r="N188" s="210">
        <f t="shared" si="49"/>
        <v>3031.4254129022897</v>
      </c>
      <c r="O188" s="209">
        <v>0</v>
      </c>
      <c r="P188" s="209">
        <v>0</v>
      </c>
      <c r="Q188" s="209">
        <v>0</v>
      </c>
      <c r="R188" s="210">
        <f t="shared" si="50"/>
        <v>3031.4254129022897</v>
      </c>
    </row>
    <row r="189" spans="1:18" x14ac:dyDescent="0.25">
      <c r="A189" s="162">
        <v>2</v>
      </c>
      <c r="B189" s="201">
        <f t="shared" si="45"/>
        <v>43862</v>
      </c>
      <c r="C189" s="225">
        <f t="shared" si="58"/>
        <v>43894</v>
      </c>
      <c r="D189" s="225">
        <f t="shared" si="58"/>
        <v>43914</v>
      </c>
      <c r="E189" s="211" t="s">
        <v>57</v>
      </c>
      <c r="F189" s="162">
        <v>9</v>
      </c>
      <c r="G189" s="204">
        <v>34</v>
      </c>
      <c r="H189" s="205">
        <f t="shared" si="46"/>
        <v>1093.1099999999999</v>
      </c>
      <c r="I189" s="205">
        <f t="shared" si="57"/>
        <v>1176.9000000000001</v>
      </c>
      <c r="J189" s="206">
        <f t="shared" si="47"/>
        <v>40014.600000000006</v>
      </c>
      <c r="K189" s="207">
        <f t="shared" si="41"/>
        <v>37165.74</v>
      </c>
      <c r="L189" s="208">
        <f t="shared" si="56"/>
        <v>2848.8600000000079</v>
      </c>
      <c r="M189" s="209">
        <f t="shared" si="48"/>
        <v>95.953258247937001</v>
      </c>
      <c r="N189" s="210">
        <f t="shared" si="49"/>
        <v>2944.8132582479448</v>
      </c>
      <c r="O189" s="209">
        <v>0</v>
      </c>
      <c r="P189" s="209">
        <v>0</v>
      </c>
      <c r="Q189" s="209">
        <v>0</v>
      </c>
      <c r="R189" s="210">
        <f t="shared" si="50"/>
        <v>2944.8132582479448</v>
      </c>
    </row>
    <row r="190" spans="1:18" x14ac:dyDescent="0.25">
      <c r="A190" s="162">
        <v>3</v>
      </c>
      <c r="B190" s="201">
        <f t="shared" si="45"/>
        <v>43891</v>
      </c>
      <c r="C190" s="225">
        <f t="shared" si="58"/>
        <v>43924</v>
      </c>
      <c r="D190" s="225">
        <f t="shared" si="58"/>
        <v>43945</v>
      </c>
      <c r="E190" s="211" t="s">
        <v>57</v>
      </c>
      <c r="F190" s="162">
        <v>9</v>
      </c>
      <c r="G190" s="204">
        <v>30</v>
      </c>
      <c r="H190" s="205">
        <f t="shared" si="46"/>
        <v>1093.1099999999999</v>
      </c>
      <c r="I190" s="205">
        <f t="shared" si="57"/>
        <v>1176.9000000000001</v>
      </c>
      <c r="J190" s="206">
        <f t="shared" si="47"/>
        <v>35307</v>
      </c>
      <c r="K190" s="207">
        <f t="shared" si="41"/>
        <v>32793.299999999996</v>
      </c>
      <c r="L190" s="208">
        <f>+J190-K190</f>
        <v>2513.7000000000044</v>
      </c>
      <c r="M190" s="209">
        <f t="shared" si="48"/>
        <v>84.664639630532648</v>
      </c>
      <c r="N190" s="210">
        <f t="shared" si="49"/>
        <v>2598.3646396305371</v>
      </c>
      <c r="O190" s="209">
        <v>0</v>
      </c>
      <c r="P190" s="209">
        <v>0</v>
      </c>
      <c r="Q190" s="209">
        <v>0</v>
      </c>
      <c r="R190" s="210">
        <f t="shared" si="50"/>
        <v>2598.3646396305371</v>
      </c>
    </row>
    <row r="191" spans="1:18" x14ac:dyDescent="0.25">
      <c r="A191" s="125">
        <v>4</v>
      </c>
      <c r="B191" s="201">
        <f t="shared" si="45"/>
        <v>43922</v>
      </c>
      <c r="C191" s="225">
        <f t="shared" si="58"/>
        <v>43956</v>
      </c>
      <c r="D191" s="225">
        <f t="shared" si="58"/>
        <v>43976</v>
      </c>
      <c r="E191" s="54" t="s">
        <v>57</v>
      </c>
      <c r="F191" s="162">
        <v>9</v>
      </c>
      <c r="G191" s="204">
        <v>32</v>
      </c>
      <c r="H191" s="205">
        <f t="shared" si="46"/>
        <v>1093.1099999999999</v>
      </c>
      <c r="I191" s="205">
        <f t="shared" si="57"/>
        <v>1176.9000000000001</v>
      </c>
      <c r="J191" s="206">
        <f t="shared" si="47"/>
        <v>37660.800000000003</v>
      </c>
      <c r="K191" s="207">
        <f t="shared" si="41"/>
        <v>34979.519999999997</v>
      </c>
      <c r="L191" s="208">
        <f t="shared" ref="L191:L201" si="59">+J191-K191</f>
        <v>2681.2800000000061</v>
      </c>
      <c r="M191" s="209">
        <f t="shared" si="48"/>
        <v>90.30894893923481</v>
      </c>
      <c r="N191" s="210">
        <f t="shared" si="49"/>
        <v>2771.5889489392407</v>
      </c>
      <c r="O191" s="209">
        <v>0</v>
      </c>
      <c r="P191" s="209">
        <v>0</v>
      </c>
      <c r="Q191" s="209">
        <v>0</v>
      </c>
      <c r="R191" s="210">
        <f t="shared" si="50"/>
        <v>2771.5889489392407</v>
      </c>
    </row>
    <row r="192" spans="1:18" x14ac:dyDescent="0.25">
      <c r="A192" s="162">
        <v>5</v>
      </c>
      <c r="B192" s="201">
        <f t="shared" si="45"/>
        <v>43952</v>
      </c>
      <c r="C192" s="225">
        <f t="shared" si="58"/>
        <v>43985</v>
      </c>
      <c r="D192" s="225">
        <f t="shared" si="58"/>
        <v>44006</v>
      </c>
      <c r="E192" s="54" t="s">
        <v>57</v>
      </c>
      <c r="F192" s="162">
        <v>9</v>
      </c>
      <c r="G192" s="204">
        <v>36</v>
      </c>
      <c r="H192" s="205">
        <f t="shared" si="46"/>
        <v>1093.1099999999999</v>
      </c>
      <c r="I192" s="205">
        <f t="shared" si="57"/>
        <v>1176.9000000000001</v>
      </c>
      <c r="J192" s="206">
        <f t="shared" si="47"/>
        <v>42368.4</v>
      </c>
      <c r="K192" s="207">
        <f t="shared" si="41"/>
        <v>39351.96</v>
      </c>
      <c r="L192" s="208">
        <f t="shared" si="59"/>
        <v>3016.4400000000023</v>
      </c>
      <c r="M192" s="209">
        <f t="shared" si="48"/>
        <v>101.59756755663918</v>
      </c>
      <c r="N192" s="210">
        <f t="shared" si="49"/>
        <v>3118.0375675566415</v>
      </c>
      <c r="O192" s="209">
        <v>0</v>
      </c>
      <c r="P192" s="209">
        <v>0</v>
      </c>
      <c r="Q192" s="209">
        <v>0</v>
      </c>
      <c r="R192" s="210">
        <f t="shared" si="50"/>
        <v>3118.0375675566415</v>
      </c>
    </row>
    <row r="193" spans="1:18" x14ac:dyDescent="0.25">
      <c r="A193" s="162">
        <v>6</v>
      </c>
      <c r="B193" s="201">
        <f t="shared" si="45"/>
        <v>43983</v>
      </c>
      <c r="C193" s="225">
        <f t="shared" si="58"/>
        <v>44015</v>
      </c>
      <c r="D193" s="225">
        <f t="shared" si="58"/>
        <v>44036</v>
      </c>
      <c r="E193" s="54" t="s">
        <v>57</v>
      </c>
      <c r="F193" s="162">
        <v>9</v>
      </c>
      <c r="G193" s="204">
        <v>42</v>
      </c>
      <c r="H193" s="205">
        <f t="shared" si="46"/>
        <v>1093.1099999999999</v>
      </c>
      <c r="I193" s="205">
        <f t="shared" si="57"/>
        <v>1176.9000000000001</v>
      </c>
      <c r="J193" s="206">
        <f t="shared" si="47"/>
        <v>49429.8</v>
      </c>
      <c r="K193" s="207">
        <f t="shared" si="41"/>
        <v>45910.619999999995</v>
      </c>
      <c r="L193" s="212">
        <f t="shared" si="59"/>
        <v>3519.1800000000076</v>
      </c>
      <c r="M193" s="209">
        <f t="shared" si="48"/>
        <v>118.53049548274569</v>
      </c>
      <c r="N193" s="210">
        <f t="shared" si="49"/>
        <v>3637.7104954827532</v>
      </c>
      <c r="O193" s="209">
        <v>0</v>
      </c>
      <c r="P193" s="209">
        <v>0</v>
      </c>
      <c r="Q193" s="209">
        <v>0</v>
      </c>
      <c r="R193" s="210">
        <f t="shared" si="50"/>
        <v>3637.7104954827532</v>
      </c>
    </row>
    <row r="194" spans="1:18" x14ac:dyDescent="0.25">
      <c r="A194" s="125">
        <v>7</v>
      </c>
      <c r="B194" s="201">
        <f t="shared" si="45"/>
        <v>44013</v>
      </c>
      <c r="C194" s="225">
        <f t="shared" si="58"/>
        <v>44048</v>
      </c>
      <c r="D194" s="225">
        <f t="shared" si="58"/>
        <v>44067</v>
      </c>
      <c r="E194" s="54" t="s">
        <v>57</v>
      </c>
      <c r="F194" s="162">
        <v>9</v>
      </c>
      <c r="G194" s="204">
        <v>47</v>
      </c>
      <c r="H194" s="205">
        <f t="shared" si="46"/>
        <v>1093.1099999999999</v>
      </c>
      <c r="I194" s="205">
        <f t="shared" si="57"/>
        <v>1176.9000000000001</v>
      </c>
      <c r="J194" s="206">
        <f t="shared" si="47"/>
        <v>55314.3</v>
      </c>
      <c r="K194" s="213">
        <f t="shared" si="41"/>
        <v>51376.17</v>
      </c>
      <c r="L194" s="212">
        <f t="shared" si="59"/>
        <v>3938.1300000000047</v>
      </c>
      <c r="M194" s="209">
        <f t="shared" si="48"/>
        <v>132.64126875450114</v>
      </c>
      <c r="N194" s="210">
        <f t="shared" si="49"/>
        <v>4070.7712687545059</v>
      </c>
      <c r="O194" s="209">
        <v>0</v>
      </c>
      <c r="P194" s="209">
        <v>0</v>
      </c>
      <c r="Q194" s="209">
        <v>0</v>
      </c>
      <c r="R194" s="210">
        <f t="shared" si="50"/>
        <v>4070.7712687545059</v>
      </c>
    </row>
    <row r="195" spans="1:18" x14ac:dyDescent="0.25">
      <c r="A195" s="162">
        <v>8</v>
      </c>
      <c r="B195" s="201">
        <f t="shared" si="45"/>
        <v>44044</v>
      </c>
      <c r="C195" s="225">
        <f t="shared" si="58"/>
        <v>44077</v>
      </c>
      <c r="D195" s="225">
        <f t="shared" si="58"/>
        <v>44098</v>
      </c>
      <c r="E195" s="54" t="s">
        <v>57</v>
      </c>
      <c r="F195" s="162">
        <v>9</v>
      </c>
      <c r="G195" s="204">
        <v>48</v>
      </c>
      <c r="H195" s="205">
        <f t="shared" si="46"/>
        <v>1093.1099999999999</v>
      </c>
      <c r="I195" s="205">
        <f t="shared" si="57"/>
        <v>1176.9000000000001</v>
      </c>
      <c r="J195" s="206">
        <f t="shared" si="47"/>
        <v>56491.200000000004</v>
      </c>
      <c r="K195" s="213">
        <f t="shared" si="41"/>
        <v>52469.279999999999</v>
      </c>
      <c r="L195" s="212">
        <f t="shared" si="59"/>
        <v>4021.9200000000055</v>
      </c>
      <c r="M195" s="209">
        <f t="shared" si="48"/>
        <v>135.46342340885221</v>
      </c>
      <c r="N195" s="210">
        <f t="shared" si="49"/>
        <v>4157.3834234088581</v>
      </c>
      <c r="O195" s="209">
        <v>0</v>
      </c>
      <c r="P195" s="209">
        <v>0</v>
      </c>
      <c r="Q195" s="209">
        <v>0</v>
      </c>
      <c r="R195" s="210">
        <f t="shared" si="50"/>
        <v>4157.3834234088581</v>
      </c>
    </row>
    <row r="196" spans="1:18" x14ac:dyDescent="0.25">
      <c r="A196" s="162">
        <v>9</v>
      </c>
      <c r="B196" s="201">
        <f t="shared" si="45"/>
        <v>44075</v>
      </c>
      <c r="C196" s="225">
        <f t="shared" si="58"/>
        <v>44109</v>
      </c>
      <c r="D196" s="225">
        <f t="shared" si="58"/>
        <v>44130</v>
      </c>
      <c r="E196" s="54" t="s">
        <v>57</v>
      </c>
      <c r="F196" s="162">
        <v>9</v>
      </c>
      <c r="G196" s="204">
        <v>44</v>
      </c>
      <c r="H196" s="205">
        <f t="shared" si="46"/>
        <v>1093.1099999999999</v>
      </c>
      <c r="I196" s="205">
        <f t="shared" si="57"/>
        <v>1176.9000000000001</v>
      </c>
      <c r="J196" s="206">
        <f t="shared" si="47"/>
        <v>51783.600000000006</v>
      </c>
      <c r="K196" s="213">
        <f t="shared" si="41"/>
        <v>48096.84</v>
      </c>
      <c r="L196" s="212">
        <f t="shared" si="59"/>
        <v>3686.7600000000093</v>
      </c>
      <c r="M196" s="209">
        <f t="shared" si="48"/>
        <v>124.17480479144788</v>
      </c>
      <c r="N196" s="210">
        <f t="shared" si="49"/>
        <v>3810.9348047914573</v>
      </c>
      <c r="O196" s="209">
        <v>0</v>
      </c>
      <c r="P196" s="209">
        <v>0</v>
      </c>
      <c r="Q196" s="209">
        <v>0</v>
      </c>
      <c r="R196" s="210">
        <f t="shared" si="50"/>
        <v>3810.9348047914573</v>
      </c>
    </row>
    <row r="197" spans="1:18" x14ac:dyDescent="0.25">
      <c r="A197" s="125">
        <v>10</v>
      </c>
      <c r="B197" s="201">
        <f t="shared" si="45"/>
        <v>44105</v>
      </c>
      <c r="C197" s="225">
        <f t="shared" si="58"/>
        <v>44139</v>
      </c>
      <c r="D197" s="225">
        <f t="shared" si="58"/>
        <v>44159</v>
      </c>
      <c r="E197" s="54" t="s">
        <v>57</v>
      </c>
      <c r="F197" s="162">
        <v>9</v>
      </c>
      <c r="G197" s="204">
        <v>30</v>
      </c>
      <c r="H197" s="205">
        <f t="shared" si="46"/>
        <v>1093.1099999999999</v>
      </c>
      <c r="I197" s="205">
        <f t="shared" si="57"/>
        <v>1176.9000000000001</v>
      </c>
      <c r="J197" s="206">
        <f t="shared" si="47"/>
        <v>35307</v>
      </c>
      <c r="K197" s="213">
        <f t="shared" si="41"/>
        <v>32793.299999999996</v>
      </c>
      <c r="L197" s="212">
        <f t="shared" si="59"/>
        <v>2513.7000000000044</v>
      </c>
      <c r="M197" s="209">
        <f t="shared" si="48"/>
        <v>84.664639630532648</v>
      </c>
      <c r="N197" s="210">
        <f t="shared" si="49"/>
        <v>2598.3646396305371</v>
      </c>
      <c r="O197" s="209">
        <v>0</v>
      </c>
      <c r="P197" s="209">
        <v>0</v>
      </c>
      <c r="Q197" s="209">
        <v>0</v>
      </c>
      <c r="R197" s="210">
        <f t="shared" si="50"/>
        <v>2598.3646396305371</v>
      </c>
    </row>
    <row r="198" spans="1:18" x14ac:dyDescent="0.25">
      <c r="A198" s="162">
        <v>11</v>
      </c>
      <c r="B198" s="201">
        <f t="shared" si="45"/>
        <v>44136</v>
      </c>
      <c r="C198" s="225">
        <f t="shared" si="58"/>
        <v>44168</v>
      </c>
      <c r="D198" s="225">
        <f t="shared" si="58"/>
        <v>44189</v>
      </c>
      <c r="E198" s="54" t="s">
        <v>57</v>
      </c>
      <c r="F198" s="162">
        <v>9</v>
      </c>
      <c r="G198" s="204">
        <v>31</v>
      </c>
      <c r="H198" s="205">
        <f t="shared" si="46"/>
        <v>1093.1099999999999</v>
      </c>
      <c r="I198" s="205">
        <f t="shared" si="57"/>
        <v>1176.9000000000001</v>
      </c>
      <c r="J198" s="206">
        <f t="shared" si="47"/>
        <v>36483.9</v>
      </c>
      <c r="K198" s="213">
        <f t="shared" ref="K198:K209" si="60">+$G198*H198</f>
        <v>33886.409999999996</v>
      </c>
      <c r="L198" s="212">
        <f t="shared" si="59"/>
        <v>2597.4900000000052</v>
      </c>
      <c r="M198" s="209">
        <f t="shared" si="48"/>
        <v>87.486794284883729</v>
      </c>
      <c r="N198" s="210">
        <f t="shared" si="49"/>
        <v>2684.9767942848889</v>
      </c>
      <c r="O198" s="209">
        <v>0</v>
      </c>
      <c r="P198" s="209">
        <v>0</v>
      </c>
      <c r="Q198" s="209">
        <v>0</v>
      </c>
      <c r="R198" s="210">
        <f t="shared" si="50"/>
        <v>2684.9767942848889</v>
      </c>
    </row>
    <row r="199" spans="1:18" s="229" customFormat="1" x14ac:dyDescent="0.25">
      <c r="A199" s="162">
        <v>12</v>
      </c>
      <c r="B199" s="227">
        <f t="shared" si="45"/>
        <v>44166</v>
      </c>
      <c r="C199" s="225">
        <f t="shared" si="58"/>
        <v>44202</v>
      </c>
      <c r="D199" s="225">
        <f t="shared" si="58"/>
        <v>44221</v>
      </c>
      <c r="E199" s="228" t="s">
        <v>57</v>
      </c>
      <c r="F199" s="173">
        <v>9</v>
      </c>
      <c r="G199" s="216">
        <v>34</v>
      </c>
      <c r="H199" s="217">
        <f t="shared" si="46"/>
        <v>1093.1099999999999</v>
      </c>
      <c r="I199" s="217">
        <f t="shared" si="57"/>
        <v>1176.9000000000001</v>
      </c>
      <c r="J199" s="218">
        <f t="shared" si="47"/>
        <v>40014.600000000006</v>
      </c>
      <c r="K199" s="219">
        <f t="shared" si="60"/>
        <v>37165.74</v>
      </c>
      <c r="L199" s="220">
        <f t="shared" si="59"/>
        <v>2848.8600000000079</v>
      </c>
      <c r="M199" s="209">
        <f t="shared" si="48"/>
        <v>95.953258247937001</v>
      </c>
      <c r="N199" s="210">
        <f t="shared" si="49"/>
        <v>2944.8132582479448</v>
      </c>
      <c r="O199" s="209">
        <v>0</v>
      </c>
      <c r="P199" s="209">
        <v>0</v>
      </c>
      <c r="Q199" s="209">
        <v>0</v>
      </c>
      <c r="R199" s="210">
        <f t="shared" si="50"/>
        <v>2944.8132582479448</v>
      </c>
    </row>
    <row r="200" spans="1:18" x14ac:dyDescent="0.25">
      <c r="A200" s="125">
        <v>1</v>
      </c>
      <c r="B200" s="201">
        <f t="shared" si="45"/>
        <v>43831</v>
      </c>
      <c r="C200" s="222">
        <f t="shared" si="58"/>
        <v>43866</v>
      </c>
      <c r="D200" s="222">
        <f t="shared" si="58"/>
        <v>43885</v>
      </c>
      <c r="E200" s="203" t="s">
        <v>17</v>
      </c>
      <c r="F200" s="125">
        <v>9</v>
      </c>
      <c r="G200" s="204">
        <v>106</v>
      </c>
      <c r="H200" s="205">
        <f t="shared" si="46"/>
        <v>1093.1099999999999</v>
      </c>
      <c r="I200" s="205">
        <f t="shared" si="57"/>
        <v>1176.9000000000001</v>
      </c>
      <c r="J200" s="206">
        <f t="shared" si="47"/>
        <v>124751.40000000001</v>
      </c>
      <c r="K200" s="207">
        <f t="shared" si="60"/>
        <v>115869.65999999999</v>
      </c>
      <c r="L200" s="208">
        <f t="shared" si="59"/>
        <v>8881.7400000000198</v>
      </c>
      <c r="M200" s="209">
        <f t="shared" si="48"/>
        <v>299.14839336121537</v>
      </c>
      <c r="N200" s="210">
        <f t="shared" si="49"/>
        <v>9180.888393361236</v>
      </c>
      <c r="O200" s="209">
        <v>0</v>
      </c>
      <c r="P200" s="209">
        <v>0</v>
      </c>
      <c r="Q200" s="209">
        <v>0</v>
      </c>
      <c r="R200" s="210">
        <f t="shared" si="50"/>
        <v>9180.888393361236</v>
      </c>
    </row>
    <row r="201" spans="1:18" x14ac:dyDescent="0.25">
      <c r="A201" s="162">
        <v>2</v>
      </c>
      <c r="B201" s="201">
        <f t="shared" si="45"/>
        <v>43862</v>
      </c>
      <c r="C201" s="225">
        <f t="shared" si="58"/>
        <v>43894</v>
      </c>
      <c r="D201" s="225">
        <f t="shared" si="58"/>
        <v>43914</v>
      </c>
      <c r="E201" s="211" t="s">
        <v>17</v>
      </c>
      <c r="F201" s="162">
        <v>9</v>
      </c>
      <c r="G201" s="204">
        <v>103</v>
      </c>
      <c r="H201" s="205">
        <f t="shared" si="46"/>
        <v>1093.1099999999999</v>
      </c>
      <c r="I201" s="205">
        <f t="shared" si="57"/>
        <v>1176.9000000000001</v>
      </c>
      <c r="J201" s="206">
        <f t="shared" si="47"/>
        <v>121220.70000000001</v>
      </c>
      <c r="K201" s="207">
        <f t="shared" si="60"/>
        <v>112590.32999999999</v>
      </c>
      <c r="L201" s="208">
        <f t="shared" si="59"/>
        <v>8630.3700000000244</v>
      </c>
      <c r="M201" s="209">
        <f t="shared" si="48"/>
        <v>290.68192939816208</v>
      </c>
      <c r="N201" s="210">
        <f t="shared" si="49"/>
        <v>8921.051929398187</v>
      </c>
      <c r="O201" s="209">
        <v>0</v>
      </c>
      <c r="P201" s="209">
        <v>0</v>
      </c>
      <c r="Q201" s="209">
        <v>0</v>
      </c>
      <c r="R201" s="210">
        <f t="shared" si="50"/>
        <v>8921.051929398187</v>
      </c>
    </row>
    <row r="202" spans="1:18" x14ac:dyDescent="0.25">
      <c r="A202" s="162">
        <v>3</v>
      </c>
      <c r="B202" s="201">
        <f t="shared" si="45"/>
        <v>43891</v>
      </c>
      <c r="C202" s="225">
        <f t="shared" si="58"/>
        <v>43924</v>
      </c>
      <c r="D202" s="225">
        <f t="shared" si="58"/>
        <v>43945</v>
      </c>
      <c r="E202" s="211" t="s">
        <v>17</v>
      </c>
      <c r="F202" s="162">
        <v>9</v>
      </c>
      <c r="G202" s="204">
        <v>26</v>
      </c>
      <c r="H202" s="205">
        <f t="shared" si="46"/>
        <v>1093.1099999999999</v>
      </c>
      <c r="I202" s="205">
        <f t="shared" si="57"/>
        <v>1176.9000000000001</v>
      </c>
      <c r="J202" s="206">
        <f t="shared" si="47"/>
        <v>30599.4</v>
      </c>
      <c r="K202" s="207">
        <f t="shared" si="60"/>
        <v>28420.859999999997</v>
      </c>
      <c r="L202" s="208">
        <f>+J202-K202</f>
        <v>2178.5400000000045</v>
      </c>
      <c r="M202" s="209">
        <f t="shared" si="48"/>
        <v>73.376021013128295</v>
      </c>
      <c r="N202" s="210">
        <f t="shared" si="49"/>
        <v>2251.9160210131326</v>
      </c>
      <c r="O202" s="209">
        <v>0</v>
      </c>
      <c r="P202" s="209">
        <v>0</v>
      </c>
      <c r="Q202" s="209">
        <v>0</v>
      </c>
      <c r="R202" s="210">
        <f t="shared" si="50"/>
        <v>2251.9160210131326</v>
      </c>
    </row>
    <row r="203" spans="1:18" x14ac:dyDescent="0.25">
      <c r="A203" s="125">
        <v>4</v>
      </c>
      <c r="B203" s="201">
        <f t="shared" si="45"/>
        <v>43922</v>
      </c>
      <c r="C203" s="225">
        <f t="shared" si="58"/>
        <v>43956</v>
      </c>
      <c r="D203" s="225">
        <f t="shared" si="58"/>
        <v>43976</v>
      </c>
      <c r="E203" s="211" t="s">
        <v>17</v>
      </c>
      <c r="F203" s="162">
        <v>9</v>
      </c>
      <c r="G203" s="204">
        <v>97</v>
      </c>
      <c r="H203" s="205">
        <f t="shared" si="46"/>
        <v>1093.1099999999999</v>
      </c>
      <c r="I203" s="205">
        <f t="shared" si="57"/>
        <v>1176.9000000000001</v>
      </c>
      <c r="J203" s="206">
        <f t="shared" si="47"/>
        <v>114159.3</v>
      </c>
      <c r="K203" s="207">
        <f t="shared" si="60"/>
        <v>106031.66999999998</v>
      </c>
      <c r="L203" s="208">
        <f t="shared" ref="L203:L211" si="61">+J203-K203</f>
        <v>8127.6300000000192</v>
      </c>
      <c r="M203" s="209">
        <f t="shared" si="48"/>
        <v>273.74900147205551</v>
      </c>
      <c r="N203" s="210">
        <f t="shared" si="49"/>
        <v>8401.3790014720744</v>
      </c>
      <c r="O203" s="209">
        <v>0</v>
      </c>
      <c r="P203" s="209">
        <v>0</v>
      </c>
      <c r="Q203" s="209">
        <v>0</v>
      </c>
      <c r="R203" s="210">
        <f t="shared" si="50"/>
        <v>8401.3790014720744</v>
      </c>
    </row>
    <row r="204" spans="1:18" x14ac:dyDescent="0.25">
      <c r="A204" s="162">
        <v>5</v>
      </c>
      <c r="B204" s="201">
        <f t="shared" si="45"/>
        <v>43952</v>
      </c>
      <c r="C204" s="225">
        <f t="shared" si="58"/>
        <v>43985</v>
      </c>
      <c r="D204" s="225">
        <f t="shared" si="58"/>
        <v>44006</v>
      </c>
      <c r="E204" s="54" t="s">
        <v>17</v>
      </c>
      <c r="F204" s="162">
        <v>9</v>
      </c>
      <c r="G204" s="204">
        <v>80</v>
      </c>
      <c r="H204" s="205">
        <f t="shared" si="46"/>
        <v>1093.1099999999999</v>
      </c>
      <c r="I204" s="205">
        <f t="shared" si="57"/>
        <v>1176.9000000000001</v>
      </c>
      <c r="J204" s="206">
        <f t="shared" si="47"/>
        <v>94152</v>
      </c>
      <c r="K204" s="207">
        <f t="shared" si="60"/>
        <v>87448.799999999988</v>
      </c>
      <c r="L204" s="208">
        <f t="shared" si="61"/>
        <v>6703.2000000000116</v>
      </c>
      <c r="M204" s="209">
        <f t="shared" si="48"/>
        <v>225.77237234808706</v>
      </c>
      <c r="N204" s="210">
        <f t="shared" si="49"/>
        <v>6928.9723723480984</v>
      </c>
      <c r="O204" s="209">
        <v>0</v>
      </c>
      <c r="P204" s="209">
        <v>0</v>
      </c>
      <c r="Q204" s="209">
        <v>0</v>
      </c>
      <c r="R204" s="210">
        <f t="shared" si="50"/>
        <v>6928.9723723480984</v>
      </c>
    </row>
    <row r="205" spans="1:18" x14ac:dyDescent="0.25">
      <c r="A205" s="162">
        <v>6</v>
      </c>
      <c r="B205" s="201">
        <f t="shared" si="45"/>
        <v>43983</v>
      </c>
      <c r="C205" s="225">
        <f t="shared" si="58"/>
        <v>44015</v>
      </c>
      <c r="D205" s="225">
        <f t="shared" si="58"/>
        <v>44036</v>
      </c>
      <c r="E205" s="54" t="s">
        <v>17</v>
      </c>
      <c r="F205" s="162">
        <v>9</v>
      </c>
      <c r="G205" s="204">
        <v>99</v>
      </c>
      <c r="H205" s="205">
        <f t="shared" si="46"/>
        <v>1093.1099999999999</v>
      </c>
      <c r="I205" s="205">
        <f t="shared" si="57"/>
        <v>1176.9000000000001</v>
      </c>
      <c r="J205" s="206">
        <f t="shared" si="47"/>
        <v>116513.1</v>
      </c>
      <c r="K205" s="207">
        <f t="shared" si="60"/>
        <v>108217.88999999998</v>
      </c>
      <c r="L205" s="212">
        <f t="shared" si="61"/>
        <v>8295.210000000021</v>
      </c>
      <c r="M205" s="209">
        <f t="shared" si="48"/>
        <v>279.3933107807577</v>
      </c>
      <c r="N205" s="210">
        <f t="shared" si="49"/>
        <v>8574.603310780778</v>
      </c>
      <c r="O205" s="209">
        <v>0</v>
      </c>
      <c r="P205" s="209">
        <v>0</v>
      </c>
      <c r="Q205" s="209">
        <v>0</v>
      </c>
      <c r="R205" s="210">
        <f t="shared" si="50"/>
        <v>8574.603310780778</v>
      </c>
    </row>
    <row r="206" spans="1:18" x14ac:dyDescent="0.25">
      <c r="A206" s="125">
        <v>7</v>
      </c>
      <c r="B206" s="201">
        <f t="shared" si="45"/>
        <v>44013</v>
      </c>
      <c r="C206" s="225">
        <f t="shared" si="58"/>
        <v>44048</v>
      </c>
      <c r="D206" s="225">
        <f t="shared" si="58"/>
        <v>44067</v>
      </c>
      <c r="E206" s="54" t="s">
        <v>17</v>
      </c>
      <c r="F206" s="162">
        <v>9</v>
      </c>
      <c r="G206" s="204">
        <v>111</v>
      </c>
      <c r="H206" s="205">
        <f t="shared" si="46"/>
        <v>1093.1099999999999</v>
      </c>
      <c r="I206" s="205">
        <f t="shared" si="57"/>
        <v>1176.9000000000001</v>
      </c>
      <c r="J206" s="206">
        <f t="shared" si="47"/>
        <v>130635.90000000001</v>
      </c>
      <c r="K206" s="213">
        <f t="shared" si="60"/>
        <v>121335.20999999999</v>
      </c>
      <c r="L206" s="212">
        <f t="shared" si="61"/>
        <v>9300.6900000000169</v>
      </c>
      <c r="M206" s="209">
        <f t="shared" si="48"/>
        <v>313.25916663297073</v>
      </c>
      <c r="N206" s="210">
        <f t="shared" si="49"/>
        <v>9613.9491666329868</v>
      </c>
      <c r="O206" s="209">
        <v>0</v>
      </c>
      <c r="P206" s="209">
        <v>0</v>
      </c>
      <c r="Q206" s="209">
        <v>0</v>
      </c>
      <c r="R206" s="210">
        <f t="shared" si="50"/>
        <v>9613.9491666329868</v>
      </c>
    </row>
    <row r="207" spans="1:18" x14ac:dyDescent="0.25">
      <c r="A207" s="162">
        <v>8</v>
      </c>
      <c r="B207" s="201">
        <f t="shared" si="45"/>
        <v>44044</v>
      </c>
      <c r="C207" s="225">
        <f t="shared" si="58"/>
        <v>44077</v>
      </c>
      <c r="D207" s="225">
        <f t="shared" si="58"/>
        <v>44098</v>
      </c>
      <c r="E207" s="54" t="s">
        <v>17</v>
      </c>
      <c r="F207" s="162">
        <v>9</v>
      </c>
      <c r="G207" s="204">
        <v>112</v>
      </c>
      <c r="H207" s="205">
        <f t="shared" si="46"/>
        <v>1093.1099999999999</v>
      </c>
      <c r="I207" s="205">
        <f t="shared" si="57"/>
        <v>1176.9000000000001</v>
      </c>
      <c r="J207" s="206">
        <f t="shared" si="47"/>
        <v>131812.80000000002</v>
      </c>
      <c r="K207" s="213">
        <f t="shared" si="60"/>
        <v>122428.31999999999</v>
      </c>
      <c r="L207" s="212">
        <f t="shared" si="61"/>
        <v>9384.480000000025</v>
      </c>
      <c r="M207" s="209">
        <f t="shared" si="48"/>
        <v>316.08132128732183</v>
      </c>
      <c r="N207" s="210">
        <f t="shared" si="49"/>
        <v>9700.5613212873468</v>
      </c>
      <c r="O207" s="209">
        <v>0</v>
      </c>
      <c r="P207" s="209">
        <v>0</v>
      </c>
      <c r="Q207" s="209">
        <v>0</v>
      </c>
      <c r="R207" s="210">
        <f t="shared" si="50"/>
        <v>9700.5613212873468</v>
      </c>
    </row>
    <row r="208" spans="1:18" x14ac:dyDescent="0.25">
      <c r="A208" s="162">
        <v>9</v>
      </c>
      <c r="B208" s="201">
        <f t="shared" si="45"/>
        <v>44075</v>
      </c>
      <c r="C208" s="225">
        <f t="shared" si="58"/>
        <v>44109</v>
      </c>
      <c r="D208" s="225">
        <f t="shared" si="58"/>
        <v>44130</v>
      </c>
      <c r="E208" s="54" t="s">
        <v>17</v>
      </c>
      <c r="F208" s="162">
        <v>9</v>
      </c>
      <c r="G208" s="204">
        <v>114</v>
      </c>
      <c r="H208" s="205">
        <f t="shared" si="46"/>
        <v>1093.1099999999999</v>
      </c>
      <c r="I208" s="205">
        <f t="shared" si="57"/>
        <v>1176.9000000000001</v>
      </c>
      <c r="J208" s="206">
        <f t="shared" si="47"/>
        <v>134166.6</v>
      </c>
      <c r="K208" s="213">
        <f t="shared" si="60"/>
        <v>124614.54</v>
      </c>
      <c r="L208" s="212">
        <f t="shared" si="61"/>
        <v>9552.0600000000122</v>
      </c>
      <c r="M208" s="209">
        <f t="shared" si="48"/>
        <v>321.72563059602402</v>
      </c>
      <c r="N208" s="210">
        <f t="shared" si="49"/>
        <v>9873.7856305960358</v>
      </c>
      <c r="O208" s="209">
        <v>0</v>
      </c>
      <c r="P208" s="209">
        <v>0</v>
      </c>
      <c r="Q208" s="209">
        <v>0</v>
      </c>
      <c r="R208" s="210">
        <f t="shared" si="50"/>
        <v>9873.7856305960358</v>
      </c>
    </row>
    <row r="209" spans="1:18" x14ac:dyDescent="0.25">
      <c r="A209" s="125">
        <v>10</v>
      </c>
      <c r="B209" s="201">
        <f t="shared" si="45"/>
        <v>44105</v>
      </c>
      <c r="C209" s="225">
        <f t="shared" si="58"/>
        <v>44139</v>
      </c>
      <c r="D209" s="225">
        <f t="shared" si="58"/>
        <v>44159</v>
      </c>
      <c r="E209" s="54" t="s">
        <v>17</v>
      </c>
      <c r="F209" s="162">
        <v>9</v>
      </c>
      <c r="G209" s="204">
        <v>96</v>
      </c>
      <c r="H209" s="205">
        <f t="shared" si="46"/>
        <v>1093.1099999999999</v>
      </c>
      <c r="I209" s="205">
        <f t="shared" si="57"/>
        <v>1176.9000000000001</v>
      </c>
      <c r="J209" s="206">
        <f t="shared" si="47"/>
        <v>112982.40000000001</v>
      </c>
      <c r="K209" s="213">
        <f t="shared" si="60"/>
        <v>104938.56</v>
      </c>
      <c r="L209" s="212">
        <f t="shared" si="61"/>
        <v>8043.8400000000111</v>
      </c>
      <c r="M209" s="209">
        <f t="shared" si="48"/>
        <v>270.92684681770442</v>
      </c>
      <c r="N209" s="210">
        <f t="shared" si="49"/>
        <v>8314.7668468177162</v>
      </c>
      <c r="O209" s="209">
        <v>0</v>
      </c>
      <c r="P209" s="209">
        <v>0</v>
      </c>
      <c r="Q209" s="209">
        <v>0</v>
      </c>
      <c r="R209" s="210">
        <f t="shared" si="50"/>
        <v>8314.7668468177162</v>
      </c>
    </row>
    <row r="210" spans="1:18" x14ac:dyDescent="0.25">
      <c r="A210" s="162">
        <v>11</v>
      </c>
      <c r="B210" s="201">
        <f t="shared" si="45"/>
        <v>44136</v>
      </c>
      <c r="C210" s="225">
        <f t="shared" si="58"/>
        <v>44168</v>
      </c>
      <c r="D210" s="225">
        <f t="shared" si="58"/>
        <v>44189</v>
      </c>
      <c r="E210" s="54" t="s">
        <v>17</v>
      </c>
      <c r="F210" s="162">
        <v>9</v>
      </c>
      <c r="G210" s="204">
        <v>100</v>
      </c>
      <c r="H210" s="205">
        <f t="shared" si="46"/>
        <v>1093.1099999999999</v>
      </c>
      <c r="I210" s="205">
        <f t="shared" si="57"/>
        <v>1176.9000000000001</v>
      </c>
      <c r="J210" s="206">
        <f t="shared" si="47"/>
        <v>117690.00000000001</v>
      </c>
      <c r="K210" s="213">
        <f>+$G210*H210</f>
        <v>109310.99999999999</v>
      </c>
      <c r="L210" s="212">
        <f t="shared" si="61"/>
        <v>8379.0000000000291</v>
      </c>
      <c r="M210" s="209">
        <f t="shared" si="48"/>
        <v>282.2154654351088</v>
      </c>
      <c r="N210" s="210">
        <f t="shared" si="49"/>
        <v>8661.215465435138</v>
      </c>
      <c r="O210" s="209">
        <v>0</v>
      </c>
      <c r="P210" s="209">
        <v>0</v>
      </c>
      <c r="Q210" s="209">
        <v>0</v>
      </c>
      <c r="R210" s="210">
        <f t="shared" si="50"/>
        <v>8661.215465435138</v>
      </c>
    </row>
    <row r="211" spans="1:18" s="229" customFormat="1" x14ac:dyDescent="0.25">
      <c r="A211" s="162">
        <v>12</v>
      </c>
      <c r="B211" s="227">
        <f t="shared" si="45"/>
        <v>44166</v>
      </c>
      <c r="C211" s="230">
        <f t="shared" si="58"/>
        <v>44202</v>
      </c>
      <c r="D211" s="230">
        <f t="shared" si="58"/>
        <v>44221</v>
      </c>
      <c r="E211" s="228" t="s">
        <v>17</v>
      </c>
      <c r="F211" s="173">
        <v>9</v>
      </c>
      <c r="G211" s="216">
        <v>105</v>
      </c>
      <c r="H211" s="217">
        <f t="shared" si="46"/>
        <v>1093.1099999999999</v>
      </c>
      <c r="I211" s="217">
        <f t="shared" si="57"/>
        <v>1176.9000000000001</v>
      </c>
      <c r="J211" s="218">
        <f t="shared" si="47"/>
        <v>123574.50000000001</v>
      </c>
      <c r="K211" s="219">
        <f>+$G211*H211</f>
        <v>114776.54999999999</v>
      </c>
      <c r="L211" s="220">
        <f t="shared" si="61"/>
        <v>8797.9500000000262</v>
      </c>
      <c r="M211" s="218">
        <f t="shared" si="48"/>
        <v>296.32623870686427</v>
      </c>
      <c r="N211" s="210">
        <f t="shared" si="49"/>
        <v>9094.2762387068906</v>
      </c>
      <c r="O211" s="209">
        <v>0</v>
      </c>
      <c r="P211" s="209">
        <v>0</v>
      </c>
      <c r="Q211" s="209">
        <v>0</v>
      </c>
      <c r="R211" s="210">
        <f t="shared" si="50"/>
        <v>9094.2762387068906</v>
      </c>
    </row>
    <row r="212" spans="1:18" x14ac:dyDescent="0.25">
      <c r="G212" s="235">
        <f>SUM(G20:G211)</f>
        <v>94887</v>
      </c>
      <c r="H212" s="51"/>
      <c r="I212" s="51"/>
      <c r="J212" s="51">
        <f>SUM(J20:J211)</f>
        <v>111672510.30000006</v>
      </c>
      <c r="K212" s="51">
        <f>SUM(K20:K211)</f>
        <v>103721928.56999993</v>
      </c>
      <c r="L212" s="51">
        <f>SUM(L20:L211)</f>
        <v>7950581.7300000265</v>
      </c>
      <c r="M212" s="51">
        <f>SUM(M20:M211)</f>
        <v>267785.78868741175</v>
      </c>
      <c r="N212" s="51"/>
      <c r="O212" s="51"/>
      <c r="P212" s="51">
        <f>SUM(P20:P211)</f>
        <v>0</v>
      </c>
      <c r="Q212" s="51"/>
      <c r="R212" s="236">
        <f>SUM(R20:R211)</f>
        <v>8218367.5186874289</v>
      </c>
    </row>
    <row r="213" spans="1:18" x14ac:dyDescent="0.25">
      <c r="P213" s="51"/>
      <c r="Q213" s="51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6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31171CA9-5A51-4851-9E04-2728E09271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2021-05-24T21:34:24Z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fe0e22d3-5569-41c2-9a0f-b7f0844f7669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uid="50c31824-0780-4910-87d1-eaaffd182d42" value="" /&gt;&lt;element uid="c64218ab-b8d1-40b6-a478-cb8be1e10ecc" value="" /&gt;&lt;/sisl&gt;</vt:lpwstr>
  </property>
</Properties>
</file>